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codeName="ThisWorkbook"/>
  <xr:revisionPtr revIDLastSave="0" documentId="13_ncr:1_{4364768E-40F9-4303-A488-4E8BE69E6858}" xr6:coauthVersionLast="47" xr6:coauthVersionMax="47" xr10:uidLastSave="{00000000-0000-0000-0000-000000000000}"/>
  <bookViews>
    <workbookView xWindow="57480" yWindow="-120" windowWidth="29040" windowHeight="15720" activeTab="3" xr2:uid="{00000000-000D-0000-FFFF-FFFF00000000}"/>
  </bookViews>
  <sheets>
    <sheet name="Remodel Fixtures V2" sheetId="7" r:id="rId1"/>
    <sheet name="Remodel Fixtures V1" sheetId="6" r:id="rId2"/>
    <sheet name="Bath Remodel - DIY Tools" sheetId="5" r:id="rId3"/>
    <sheet name="Bath Remodel - Const Cost" sheetId="4" r:id="rId4"/>
    <sheet name="Project Planning " sheetId="3" r:id="rId5"/>
  </sheets>
  <definedNames>
    <definedName name="Overage" localSheetId="3">'Bath Remodel - Const Cost'!$J$33</definedName>
    <definedName name="Overage" localSheetId="2">'Bath Remodel - DIY Tools'!$I$21</definedName>
    <definedName name="Overage" localSheetId="1">'Remodel Fixtures V1'!$I$27</definedName>
    <definedName name="Overage" localSheetId="0">'Remodel Fixtures V2'!$J$36</definedName>
    <definedName name="Overage">#REF!</definedName>
    <definedName name="_xlnm.Print_Titles" localSheetId="3">'Bath Remodel - Const Cost'!$4:$5</definedName>
    <definedName name="_xlnm.Print_Titles" localSheetId="2">'Bath Remodel - DIY Tools'!$4:$5</definedName>
    <definedName name="_xlnm.Print_Titles" localSheetId="1">'Remodel Fixtures V1'!$4:$5</definedName>
    <definedName name="_xlnm.Print_Titles" localSheetId="0">'Remodel Fixtures V2'!$4:$5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7" l="1"/>
  <c r="I21" i="7" s="1"/>
  <c r="J21" i="7"/>
  <c r="H17" i="7"/>
  <c r="I17" i="7" s="1"/>
  <c r="J17" i="7"/>
  <c r="H33" i="7"/>
  <c r="I33" i="7" s="1"/>
  <c r="J33" i="7"/>
  <c r="H11" i="7"/>
  <c r="I11" i="7" s="1"/>
  <c r="J11" i="7"/>
  <c r="H29" i="7"/>
  <c r="I29" i="7" s="1"/>
  <c r="H30" i="7"/>
  <c r="K30" i="7" s="1"/>
  <c r="H31" i="7"/>
  <c r="I31" i="7" s="1"/>
  <c r="H32" i="7"/>
  <c r="I32" i="7" s="1"/>
  <c r="H34" i="7"/>
  <c r="I34" i="7" s="1"/>
  <c r="J29" i="7"/>
  <c r="J30" i="7"/>
  <c r="J31" i="7"/>
  <c r="J32" i="7"/>
  <c r="J34" i="7"/>
  <c r="G35" i="7"/>
  <c r="G36" i="7" s="1"/>
  <c r="G37" i="7" s="1"/>
  <c r="J28" i="7"/>
  <c r="H28" i="7"/>
  <c r="K28" i="7" s="1"/>
  <c r="J27" i="7"/>
  <c r="H27" i="7"/>
  <c r="K27" i="7" s="1"/>
  <c r="J26" i="7"/>
  <c r="H26" i="7"/>
  <c r="K26" i="7" s="1"/>
  <c r="J25" i="7"/>
  <c r="H25" i="7"/>
  <c r="I25" i="7" s="1"/>
  <c r="J24" i="7"/>
  <c r="H24" i="7"/>
  <c r="I24" i="7" s="1"/>
  <c r="J23" i="7"/>
  <c r="H23" i="7"/>
  <c r="I23" i="7" s="1"/>
  <c r="J22" i="7"/>
  <c r="H22" i="7"/>
  <c r="K22" i="7" s="1"/>
  <c r="J20" i="7"/>
  <c r="H20" i="7"/>
  <c r="I20" i="7" s="1"/>
  <c r="J19" i="7"/>
  <c r="H19" i="7"/>
  <c r="K19" i="7" s="1"/>
  <c r="J18" i="7"/>
  <c r="H18" i="7"/>
  <c r="K18" i="7" s="1"/>
  <c r="J16" i="7"/>
  <c r="H16" i="7"/>
  <c r="K16" i="7" s="1"/>
  <c r="J15" i="7"/>
  <c r="H15" i="7"/>
  <c r="K15" i="7" s="1"/>
  <c r="L15" i="7" s="1"/>
  <c r="J14" i="7"/>
  <c r="H14" i="7"/>
  <c r="I14" i="7" s="1"/>
  <c r="J13" i="7"/>
  <c r="H13" i="7"/>
  <c r="K13" i="7" s="1"/>
  <c r="J12" i="7"/>
  <c r="H12" i="7"/>
  <c r="K12" i="7" s="1"/>
  <c r="J10" i="7"/>
  <c r="H10" i="7"/>
  <c r="I10" i="7" s="1"/>
  <c r="J9" i="7"/>
  <c r="H9" i="7"/>
  <c r="K9" i="7" s="1"/>
  <c r="J8" i="7"/>
  <c r="H8" i="7"/>
  <c r="I8" i="7" s="1"/>
  <c r="J7" i="7"/>
  <c r="H7" i="7"/>
  <c r="K7" i="7" s="1"/>
  <c r="J6" i="7"/>
  <c r="H6" i="7"/>
  <c r="F26" i="6"/>
  <c r="F27" i="6" s="1"/>
  <c r="F28" i="6" s="1"/>
  <c r="I25" i="6"/>
  <c r="G25" i="6"/>
  <c r="J25" i="6" s="1"/>
  <c r="K25" i="6" s="1"/>
  <c r="I24" i="6"/>
  <c r="G24" i="6"/>
  <c r="J24" i="6" s="1"/>
  <c r="K24" i="6" s="1"/>
  <c r="I23" i="6"/>
  <c r="G23" i="6"/>
  <c r="J23" i="6" s="1"/>
  <c r="I22" i="6"/>
  <c r="G22" i="6"/>
  <c r="J22" i="6" s="1"/>
  <c r="I21" i="6"/>
  <c r="G21" i="6"/>
  <c r="H21" i="6" s="1"/>
  <c r="I20" i="6"/>
  <c r="G20" i="6"/>
  <c r="H20" i="6" s="1"/>
  <c r="I19" i="6"/>
  <c r="G19" i="6"/>
  <c r="J19" i="6" s="1"/>
  <c r="I18" i="6"/>
  <c r="G18" i="6"/>
  <c r="H18" i="6" s="1"/>
  <c r="I17" i="6"/>
  <c r="G17" i="6"/>
  <c r="J17" i="6" s="1"/>
  <c r="K17" i="6" s="1"/>
  <c r="I16" i="6"/>
  <c r="G16" i="6"/>
  <c r="J16" i="6" s="1"/>
  <c r="K16" i="6" s="1"/>
  <c r="I15" i="6"/>
  <c r="G15" i="6"/>
  <c r="J15" i="6" s="1"/>
  <c r="I14" i="6"/>
  <c r="G14" i="6"/>
  <c r="J14" i="6" s="1"/>
  <c r="I13" i="6"/>
  <c r="G13" i="6"/>
  <c r="H13" i="6" s="1"/>
  <c r="I12" i="6"/>
  <c r="G12" i="6"/>
  <c r="H12" i="6" s="1"/>
  <c r="I11" i="6"/>
  <c r="G11" i="6"/>
  <c r="J11" i="6" s="1"/>
  <c r="I10" i="6"/>
  <c r="G10" i="6"/>
  <c r="H10" i="6" s="1"/>
  <c r="I9" i="6"/>
  <c r="G9" i="6"/>
  <c r="J9" i="6" s="1"/>
  <c r="K9" i="6" s="1"/>
  <c r="I8" i="6"/>
  <c r="G8" i="6"/>
  <c r="J8" i="6" s="1"/>
  <c r="K8" i="6" s="1"/>
  <c r="I7" i="6"/>
  <c r="G7" i="6"/>
  <c r="J7" i="6" s="1"/>
  <c r="I6" i="6"/>
  <c r="G6" i="6"/>
  <c r="F20" i="5"/>
  <c r="F21" i="5" s="1"/>
  <c r="I19" i="5"/>
  <c r="G19" i="5"/>
  <c r="J19" i="5" s="1"/>
  <c r="I18" i="5"/>
  <c r="G18" i="5"/>
  <c r="H18" i="5" s="1"/>
  <c r="I17" i="5"/>
  <c r="G17" i="5"/>
  <c r="H17" i="5" s="1"/>
  <c r="I16" i="5"/>
  <c r="G16" i="5"/>
  <c r="H16" i="5" s="1"/>
  <c r="I15" i="5"/>
  <c r="G15" i="5"/>
  <c r="J15" i="5" s="1"/>
  <c r="I14" i="5"/>
  <c r="G14" i="5"/>
  <c r="J14" i="5" s="1"/>
  <c r="I13" i="5"/>
  <c r="G13" i="5"/>
  <c r="J13" i="5" s="1"/>
  <c r="I12" i="5"/>
  <c r="G12" i="5"/>
  <c r="J12" i="5" s="1"/>
  <c r="I11" i="5"/>
  <c r="G11" i="5"/>
  <c r="H11" i="5" s="1"/>
  <c r="I10" i="5"/>
  <c r="G10" i="5"/>
  <c r="H10" i="5" s="1"/>
  <c r="I9" i="5"/>
  <c r="G9" i="5"/>
  <c r="H9" i="5" s="1"/>
  <c r="I8" i="5"/>
  <c r="G8" i="5"/>
  <c r="H8" i="5" s="1"/>
  <c r="I7" i="5"/>
  <c r="G7" i="5"/>
  <c r="H7" i="5" s="1"/>
  <c r="I6" i="5"/>
  <c r="G6" i="5"/>
  <c r="H31" i="4"/>
  <c r="I31" i="4" s="1"/>
  <c r="J31" i="4"/>
  <c r="H26" i="4"/>
  <c r="I26" i="4" s="1"/>
  <c r="H27" i="4"/>
  <c r="I27" i="4" s="1"/>
  <c r="H28" i="4"/>
  <c r="K28" i="4" s="1"/>
  <c r="H29" i="4"/>
  <c r="I29" i="4" s="1"/>
  <c r="H30" i="4"/>
  <c r="I30" i="4" s="1"/>
  <c r="J26" i="4"/>
  <c r="J27" i="4"/>
  <c r="J28" i="4"/>
  <c r="J29" i="4"/>
  <c r="J30" i="4"/>
  <c r="G32" i="4"/>
  <c r="J25" i="4"/>
  <c r="H25" i="4"/>
  <c r="K25" i="4" s="1"/>
  <c r="J24" i="4"/>
  <c r="H24" i="4"/>
  <c r="I24" i="4" s="1"/>
  <c r="J23" i="4"/>
  <c r="H23" i="4"/>
  <c r="K23" i="4" s="1"/>
  <c r="J22" i="4"/>
  <c r="H22" i="4"/>
  <c r="K22" i="4" s="1"/>
  <c r="J21" i="4"/>
  <c r="H21" i="4"/>
  <c r="K21" i="4" s="1"/>
  <c r="J20" i="4"/>
  <c r="H20" i="4"/>
  <c r="I20" i="4" s="1"/>
  <c r="J19" i="4"/>
  <c r="H19" i="4"/>
  <c r="I19" i="4" s="1"/>
  <c r="J18" i="4"/>
  <c r="H18" i="4"/>
  <c r="K18" i="4" s="1"/>
  <c r="J17" i="4"/>
  <c r="H17" i="4"/>
  <c r="I17" i="4" s="1"/>
  <c r="J16" i="4"/>
  <c r="H16" i="4"/>
  <c r="I16" i="4" s="1"/>
  <c r="J15" i="4"/>
  <c r="H15" i="4"/>
  <c r="K15" i="4" s="1"/>
  <c r="J14" i="4"/>
  <c r="H14" i="4"/>
  <c r="K14" i="4" s="1"/>
  <c r="J13" i="4"/>
  <c r="H13" i="4"/>
  <c r="K13" i="4" s="1"/>
  <c r="J12" i="4"/>
  <c r="H12" i="4"/>
  <c r="K12" i="4" s="1"/>
  <c r="J11" i="4"/>
  <c r="H11" i="4"/>
  <c r="I11" i="4" s="1"/>
  <c r="J10" i="4"/>
  <c r="H10" i="4"/>
  <c r="K10" i="4" s="1"/>
  <c r="J9" i="4"/>
  <c r="H9" i="4"/>
  <c r="I9" i="4" s="1"/>
  <c r="J8" i="4"/>
  <c r="H8" i="4"/>
  <c r="I8" i="4" s="1"/>
  <c r="J7" i="4"/>
  <c r="H7" i="4"/>
  <c r="I7" i="4" s="1"/>
  <c r="J6" i="4"/>
  <c r="H6" i="4"/>
  <c r="K6" i="4" s="1"/>
  <c r="K19" i="5" l="1"/>
  <c r="K12" i="5"/>
  <c r="I26" i="6"/>
  <c r="K21" i="7"/>
  <c r="L21" i="7" s="1"/>
  <c r="K17" i="7"/>
  <c r="L17" i="7" s="1"/>
  <c r="K33" i="7"/>
  <c r="L33" i="7" s="1"/>
  <c r="K11" i="7"/>
  <c r="L11" i="7" s="1"/>
  <c r="L27" i="7"/>
  <c r="L30" i="7"/>
  <c r="K34" i="7"/>
  <c r="L34" i="7" s="1"/>
  <c r="K31" i="7"/>
  <c r="L31" i="7" s="1"/>
  <c r="K29" i="7"/>
  <c r="L29" i="7" s="1"/>
  <c r="I30" i="7"/>
  <c r="K32" i="7"/>
  <c r="L32" i="7" s="1"/>
  <c r="I18" i="7"/>
  <c r="K14" i="7"/>
  <c r="L14" i="7" s="1"/>
  <c r="I7" i="7"/>
  <c r="L16" i="7"/>
  <c r="J35" i="7"/>
  <c r="J36" i="7" s="1"/>
  <c r="J37" i="7" s="1"/>
  <c r="L18" i="7"/>
  <c r="L7" i="7"/>
  <c r="I27" i="7"/>
  <c r="K24" i="7"/>
  <c r="L24" i="7" s="1"/>
  <c r="L26" i="7"/>
  <c r="K8" i="7"/>
  <c r="L8" i="7" s="1"/>
  <c r="J18" i="6"/>
  <c r="K18" i="6" s="1"/>
  <c r="I16" i="7"/>
  <c r="I26" i="7"/>
  <c r="I19" i="7"/>
  <c r="K23" i="7"/>
  <c r="L23" i="7" s="1"/>
  <c r="I28" i="7"/>
  <c r="I9" i="7"/>
  <c r="H35" i="7"/>
  <c r="H36" i="7" s="1"/>
  <c r="H37" i="7" s="1"/>
  <c r="L22" i="7"/>
  <c r="L12" i="7"/>
  <c r="L13" i="7"/>
  <c r="L19" i="7"/>
  <c r="L28" i="7"/>
  <c r="L9" i="7"/>
  <c r="H15" i="6"/>
  <c r="K10" i="7"/>
  <c r="L10" i="7" s="1"/>
  <c r="I13" i="7"/>
  <c r="K20" i="7"/>
  <c r="L20" i="7" s="1"/>
  <c r="I15" i="7"/>
  <c r="I12" i="7"/>
  <c r="I22" i="7"/>
  <c r="K6" i="7"/>
  <c r="K25" i="7"/>
  <c r="L25" i="7" s="1"/>
  <c r="I6" i="7"/>
  <c r="J10" i="6"/>
  <c r="K10" i="6" s="1"/>
  <c r="H23" i="6"/>
  <c r="H11" i="6"/>
  <c r="J21" i="6"/>
  <c r="K21" i="6" s="1"/>
  <c r="H8" i="6"/>
  <c r="K23" i="6"/>
  <c r="H7" i="6"/>
  <c r="K15" i="6"/>
  <c r="H24" i="6"/>
  <c r="J13" i="6"/>
  <c r="K13" i="6" s="1"/>
  <c r="H16" i="6"/>
  <c r="H19" i="6"/>
  <c r="K19" i="6"/>
  <c r="G26" i="6"/>
  <c r="G27" i="6" s="1"/>
  <c r="G28" i="6" s="1"/>
  <c r="K11" i="6"/>
  <c r="K22" i="6"/>
  <c r="K14" i="6"/>
  <c r="I27" i="6"/>
  <c r="I28" i="6" s="1"/>
  <c r="H9" i="6"/>
  <c r="H17" i="6"/>
  <c r="H25" i="6"/>
  <c r="H6" i="6"/>
  <c r="K7" i="6"/>
  <c r="J12" i="6"/>
  <c r="K12" i="6" s="1"/>
  <c r="H14" i="6"/>
  <c r="J20" i="6"/>
  <c r="K20" i="6" s="1"/>
  <c r="H22" i="6"/>
  <c r="J6" i="6"/>
  <c r="K14" i="5"/>
  <c r="J11" i="5"/>
  <c r="K11" i="5" s="1"/>
  <c r="J8" i="5"/>
  <c r="K8" i="5" s="1"/>
  <c r="J9" i="5"/>
  <c r="K9" i="5" s="1"/>
  <c r="J17" i="5"/>
  <c r="K17" i="5" s="1"/>
  <c r="G20" i="5"/>
  <c r="G21" i="5" s="1"/>
  <c r="G22" i="5" s="1"/>
  <c r="K13" i="5"/>
  <c r="J16" i="5"/>
  <c r="K16" i="5" s="1"/>
  <c r="H13" i="5"/>
  <c r="H19" i="5"/>
  <c r="K15" i="5"/>
  <c r="I20" i="5"/>
  <c r="F22" i="5"/>
  <c r="J10" i="5"/>
  <c r="K10" i="5" s="1"/>
  <c r="H12" i="5"/>
  <c r="J18" i="5"/>
  <c r="K18" i="5" s="1"/>
  <c r="H15" i="5"/>
  <c r="J7" i="5"/>
  <c r="K7" i="5" s="1"/>
  <c r="H6" i="5"/>
  <c r="H14" i="5"/>
  <c r="J6" i="5"/>
  <c r="K27" i="4"/>
  <c r="L27" i="4" s="1"/>
  <c r="K8" i="4"/>
  <c r="L8" i="4" s="1"/>
  <c r="K31" i="4"/>
  <c r="L31" i="4" s="1"/>
  <c r="I28" i="4"/>
  <c r="K29" i="4"/>
  <c r="L29" i="4" s="1"/>
  <c r="L28" i="4"/>
  <c r="K26" i="4"/>
  <c r="L26" i="4" s="1"/>
  <c r="K30" i="4"/>
  <c r="L30" i="4" s="1"/>
  <c r="J32" i="4"/>
  <c r="J33" i="4" s="1"/>
  <c r="J34" i="4" s="1"/>
  <c r="L14" i="4"/>
  <c r="L22" i="4"/>
  <c r="K19" i="4"/>
  <c r="L19" i="4" s="1"/>
  <c r="I18" i="4"/>
  <c r="K16" i="4"/>
  <c r="L16" i="4" s="1"/>
  <c r="K11" i="4"/>
  <c r="L11" i="4" s="1"/>
  <c r="I21" i="4"/>
  <c r="I10" i="4"/>
  <c r="L21" i="4"/>
  <c r="K24" i="4"/>
  <c r="L24" i="4" s="1"/>
  <c r="I13" i="4"/>
  <c r="L13" i="4"/>
  <c r="L6" i="4"/>
  <c r="L12" i="4"/>
  <c r="L15" i="4"/>
  <c r="L10" i="4"/>
  <c r="L25" i="4"/>
  <c r="L23" i="4"/>
  <c r="L18" i="4"/>
  <c r="I15" i="4"/>
  <c r="I12" i="4"/>
  <c r="K7" i="4"/>
  <c r="L7" i="4" s="1"/>
  <c r="I25" i="4"/>
  <c r="I14" i="4"/>
  <c r="K20" i="4"/>
  <c r="L20" i="4" s="1"/>
  <c r="K9" i="4"/>
  <c r="K17" i="4"/>
  <c r="L17" i="4" s="1"/>
  <c r="G33" i="4"/>
  <c r="G34" i="4" s="1"/>
  <c r="H32" i="4"/>
  <c r="I23" i="4"/>
  <c r="I6" i="4"/>
  <c r="I22" i="4"/>
  <c r="I35" i="7" l="1"/>
  <c r="K35" i="7"/>
  <c r="L6" i="7"/>
  <c r="L35" i="7" s="1"/>
  <c r="H26" i="6"/>
  <c r="K6" i="6"/>
  <c r="K26" i="6" s="1"/>
  <c r="J26" i="6"/>
  <c r="H20" i="5"/>
  <c r="I21" i="5"/>
  <c r="I22" i="5" s="1"/>
  <c r="K6" i="5"/>
  <c r="K20" i="5" s="1"/>
  <c r="J20" i="5"/>
  <c r="H33" i="4"/>
  <c r="H34" i="4" s="1"/>
  <c r="K32" i="4"/>
  <c r="I32" i="4"/>
  <c r="L9" i="4"/>
  <c r="L32" i="4" s="1"/>
  <c r="L37" i="7" l="1"/>
  <c r="L36" i="7"/>
  <c r="K37" i="7"/>
  <c r="K36" i="7"/>
  <c r="I36" i="7"/>
  <c r="I37" i="7" s="1"/>
  <c r="J28" i="6"/>
  <c r="J27" i="6"/>
  <c r="K28" i="6"/>
  <c r="K27" i="6"/>
  <c r="H27" i="6"/>
  <c r="H28" i="6" s="1"/>
  <c r="J22" i="5"/>
  <c r="J21" i="5"/>
  <c r="K22" i="5"/>
  <c r="K21" i="5"/>
  <c r="H21" i="5"/>
  <c r="H22" i="5" s="1"/>
  <c r="K33" i="4"/>
  <c r="K34" i="4"/>
  <c r="L33" i="4"/>
  <c r="L34" i="4"/>
  <c r="I33" i="4"/>
  <c r="I34" i="4" s="1"/>
</calcChain>
</file>

<file path=xl/sharedStrings.xml><?xml version="1.0" encoding="utf-8"?>
<sst xmlns="http://schemas.openxmlformats.org/spreadsheetml/2006/main" count="317" uniqueCount="202">
  <si>
    <t>Items</t>
  </si>
  <si>
    <t>Quantity</t>
  </si>
  <si>
    <t>Itemized Cost ($)</t>
  </si>
  <si>
    <t>Total Cost ($)</t>
  </si>
  <si>
    <t>Bath/Shower</t>
  </si>
  <si>
    <t>Estimated</t>
  </si>
  <si>
    <t>Actual</t>
  </si>
  <si>
    <t>Tub, cast iron, 5', standard</t>
  </si>
  <si>
    <t>Shower doors, hinged, standard</t>
  </si>
  <si>
    <t>Showerhead, standard</t>
  </si>
  <si>
    <t>Tub wall surround, standard</t>
  </si>
  <si>
    <t>Cabinets</t>
  </si>
  <si>
    <t>Medicine cabinet 24'', deluxe</t>
  </si>
  <si>
    <t>Modular vanity 30'', standard</t>
  </si>
  <si>
    <t>Countertops</t>
  </si>
  <si>
    <t>Ceramic tile, deluxe (qty. in lin. ft.)</t>
  </si>
  <si>
    <t>Faucets</t>
  </si>
  <si>
    <t>Faucet, bathtub, standard</t>
  </si>
  <si>
    <t>Faucet, shower, single handle, standard</t>
  </si>
  <si>
    <t>Sink faucet, standard</t>
  </si>
  <si>
    <t>Flooring</t>
  </si>
  <si>
    <t>Hardware</t>
  </si>
  <si>
    <t>Towel bar, standard</t>
  </si>
  <si>
    <t>Toilet Paper holder</t>
  </si>
  <si>
    <t>Lighting</t>
  </si>
  <si>
    <t>Recessed lights, standard</t>
  </si>
  <si>
    <t>Sinks</t>
  </si>
  <si>
    <t>Lavatory, standard</t>
  </si>
  <si>
    <t>Toilets/Bidets</t>
  </si>
  <si>
    <t>Toilet, standard</t>
  </si>
  <si>
    <t>Ventilation</t>
  </si>
  <si>
    <t>Exhaust fan/light, standard</t>
  </si>
  <si>
    <t>Walls</t>
  </si>
  <si>
    <t>Designer wallpaper, deluxe (qty. in sq. ft.)</t>
  </si>
  <si>
    <t>Windows</t>
  </si>
  <si>
    <t>Wood casement, deluxe</t>
  </si>
  <si>
    <t>Other</t>
  </si>
  <si>
    <t>Subtotal</t>
  </si>
  <si>
    <t>Total</t>
  </si>
  <si>
    <t>Area</t>
  </si>
  <si>
    <t xml:space="preserve">Estimated </t>
  </si>
  <si>
    <t xml:space="preserve">Actual </t>
  </si>
  <si>
    <t>Unexpected Costs (add 30% estimated)</t>
  </si>
  <si>
    <t>Difference</t>
  </si>
  <si>
    <t xml:space="preserve">Difference </t>
  </si>
  <si>
    <t>Key Consideration For Fixture</t>
  </si>
  <si>
    <t>Category</t>
  </si>
  <si>
    <t>Materials/Inputs</t>
  </si>
  <si>
    <t>Details/Options</t>
  </si>
  <si>
    <t>Structural Components</t>
  </si>
  <si>
    <t>Cement Backer Board</t>
  </si>
  <si>
    <t>For waterproofing behind tiles</t>
  </si>
  <si>
    <t>Studs</t>
  </si>
  <si>
    <t>For framing the shower walls</t>
  </si>
  <si>
    <t>Plywood</t>
  </si>
  <si>
    <t>For reinforcing the flooring under the shower pan</t>
  </si>
  <si>
    <t>Shower Pan or Base</t>
  </si>
  <si>
    <t>Pre-fabricated or custom-made</t>
  </si>
  <si>
    <t>Shower Curb</t>
  </si>
  <si>
    <t>If creating a walk-in shower</t>
  </si>
  <si>
    <t>Waterproofing</t>
  </si>
  <si>
    <t>Waterproof Membrane</t>
  </si>
  <si>
    <t>Liquid or sheet membrane for sealing against moisture</t>
  </si>
  <si>
    <t>Sealant</t>
  </si>
  <si>
    <t>Silicone caulk for edges and fixtures</t>
  </si>
  <si>
    <t>Tiling Materials</t>
  </si>
  <si>
    <t>Tiles</t>
  </si>
  <si>
    <t>Ceramic, porcelain, stone, glass, etc.</t>
  </si>
  <si>
    <t>Tile Adhesive</t>
  </si>
  <si>
    <t>Thinset mortar recommended</t>
  </si>
  <si>
    <t>Grout</t>
  </si>
  <si>
    <t>Sanded or unsanded, depending on tile spacing</t>
  </si>
  <si>
    <t>Grout Sealer</t>
  </si>
  <si>
    <t>To protect grout from moisture and mold</t>
  </si>
  <si>
    <t>Plumbing Fixtures</t>
  </si>
  <si>
    <t>Shower Head</t>
  </si>
  <si>
    <t>Wall-mounted, handheld, rain shower, etc.</t>
  </si>
  <si>
    <t>Mixing Valve</t>
  </si>
  <si>
    <t>For temperature and flow control</t>
  </si>
  <si>
    <t>Diverter Valve</t>
  </si>
  <si>
    <t>If using multiple shower heads or a tub spout</t>
  </si>
  <si>
    <t>Pipes and Fittings</t>
  </si>
  <si>
    <t>Copper, PVC, or PEX depending on local code</t>
  </si>
  <si>
    <t>Drain Assembly</t>
  </si>
  <si>
    <t>Drain base and cover, compatible with shower pan</t>
  </si>
  <si>
    <t>Glass Enclosure (Optional)</t>
  </si>
  <si>
    <t>Glass Panels</t>
  </si>
  <si>
    <t>Tempered glass for safety</t>
  </si>
  <si>
    <t>U-Channel or Clips</t>
  </si>
  <si>
    <t>For securing glass panels</t>
  </si>
  <si>
    <t>Door/Panel Seals</t>
  </si>
  <si>
    <t>Waterproof seals for where glass meets other surfaces</t>
  </si>
  <si>
    <t>Hinges and Handles</t>
  </si>
  <si>
    <t>For glass doors</t>
  </si>
  <si>
    <t>Accessories</t>
  </si>
  <si>
    <t>Shower Niche</t>
  </si>
  <si>
    <t>For storing shampoos and soaps</t>
  </si>
  <si>
    <t>Soap Dish/Dispenser</t>
  </si>
  <si>
    <t>Wall-mounted or freestanding</t>
  </si>
  <si>
    <t>Towel Bars and Hooks</t>
  </si>
  <si>
    <t>For convenience</t>
  </si>
  <si>
    <t>Bench or Foot Rest</t>
  </si>
  <si>
    <t>If desired for comfort</t>
  </si>
  <si>
    <t>Finishing Touches</t>
  </si>
  <si>
    <t>Paint</t>
  </si>
  <si>
    <t>Moisture-resistant paint for the ceiling and non-tiled walls</t>
  </si>
  <si>
    <t>Trim</t>
  </si>
  <si>
    <t>Baseboard or crown molding resistant to moisture</t>
  </si>
  <si>
    <t>Tools and Equipment</t>
  </si>
  <si>
    <t>Tile Cutter/Saw</t>
  </si>
  <si>
    <t>For cutting tiles to size</t>
  </si>
  <si>
    <t>Trowels</t>
  </si>
  <si>
    <t>Notched for adhesive, flat for grout</t>
  </si>
  <si>
    <t>Level</t>
  </si>
  <si>
    <t>For ensuring even tile and fixture installation</t>
  </si>
  <si>
    <t>Drill</t>
  </si>
  <si>
    <t>For installing fixtures and accessories</t>
  </si>
  <si>
    <t>Screwdrivers</t>
  </si>
  <si>
    <t>For plumbing fixtures and accessories</t>
  </si>
  <si>
    <t>Wrenches</t>
  </si>
  <si>
    <t>For plumbing work</t>
  </si>
  <si>
    <t>Hammer</t>
  </si>
  <si>
    <t>For framing and demolition</t>
  </si>
  <si>
    <t>Caulking Gun</t>
  </si>
  <si>
    <t>For applying sealant</t>
  </si>
  <si>
    <t>Safety Equipment</t>
  </si>
  <si>
    <t>Gloves, goggles, dust mask, etc.</t>
  </si>
  <si>
    <t>Measuring Tape</t>
  </si>
  <si>
    <t>For precise measurements</t>
  </si>
  <si>
    <t>Spacers</t>
  </si>
  <si>
    <t>For even tile spacing</t>
  </si>
  <si>
    <t>Sponge and Buckets</t>
  </si>
  <si>
    <t>For grout application and cleanup</t>
  </si>
  <si>
    <t>Grout Float</t>
  </si>
  <si>
    <t>For applying grout</t>
  </si>
  <si>
    <t>Grout Sponge</t>
  </si>
  <si>
    <t>For wiping excess grout</t>
  </si>
  <si>
    <t>Notes</t>
  </si>
  <si>
    <t>Bathroom Remodel Costs Worksheet - Construction Materials</t>
  </si>
  <si>
    <t>Bathroom Remodel Costs Worksheet - Fixtures and Components</t>
  </si>
  <si>
    <t>Bathroom Remodel Costs Worksheet - DIY Tools</t>
  </si>
  <si>
    <t>Purpose</t>
  </si>
  <si>
    <t>Component</t>
  </si>
  <si>
    <t>Tile, standard (qty. in sq. ft.)</t>
  </si>
  <si>
    <t>Choose from rain, handheld, or multi-functional models.</t>
  </si>
  <si>
    <t>Shower Doors or Curtains</t>
  </si>
  <si>
    <t>Glass doors for a modern look or curtains for easy change and maintenance.</t>
  </si>
  <si>
    <t>Shower Tiles</t>
  </si>
  <si>
    <t>Ceramic, porcelain, glass, or natural stone for walls and floor.</t>
  </si>
  <si>
    <t>Built-in shelving for shampoo, soap, etc.</t>
  </si>
  <si>
    <t>Shower Bench</t>
  </si>
  <si>
    <t>For seating or storage within the shower area.</t>
  </si>
  <si>
    <t>Bathroom Fixtures</t>
  </si>
  <si>
    <t>Vanity</t>
  </si>
  <si>
    <t>Includes sink and storage; central to bathroom design.</t>
  </si>
  <si>
    <t>Faucet</t>
  </si>
  <si>
    <t>For the sink, in styles like modern, traditional, or industrial.</t>
  </si>
  <si>
    <t>Toilet</t>
  </si>
  <si>
    <t>In various models and efficiency ratings.</t>
  </si>
  <si>
    <t>Towel Bars/Rings</t>
  </si>
  <si>
    <t>For hanging towels; can be decorative and functional.</t>
  </si>
  <si>
    <t>Toilet Paper Holder</t>
  </si>
  <si>
    <t>Can be freestanding or wall-mounted.</t>
  </si>
  <si>
    <t>Vanity Lights</t>
  </si>
  <si>
    <t>Above or beside the mirror for adequate lighting.</t>
  </si>
  <si>
    <t>Ceiling Light</t>
  </si>
  <si>
    <t>For general bathroom illumination.</t>
  </si>
  <si>
    <t>Accent Lighting</t>
  </si>
  <si>
    <t>LED strips or small spotlights for ambiance.</t>
  </si>
  <si>
    <t>Storage</t>
  </si>
  <si>
    <t>Wall Shelves</t>
  </si>
  <si>
    <t>For additional storage or display of decor items.</t>
  </si>
  <si>
    <t>Medicine Cabinet</t>
  </si>
  <si>
    <t>For storing toiletries; can be mirrored.</t>
  </si>
  <si>
    <t>Linen Cabinet</t>
  </si>
  <si>
    <t>Tall storage solution for towels and bathroom supplies.</t>
  </si>
  <si>
    <t>Decor</t>
  </si>
  <si>
    <t>Mirrors</t>
  </si>
  <si>
    <t>Can be functional and decorative; consider shape and size.</t>
  </si>
  <si>
    <t>Wall Art</t>
  </si>
  <si>
    <t>Water-resistant or framed art to add personality.</t>
  </si>
  <si>
    <t>Plants</t>
  </si>
  <si>
    <t>Real or artificial for a touch of greenery.</t>
  </si>
  <si>
    <t>Window Treatments</t>
  </si>
  <si>
    <t>Blinds or curtains for privacy and style.</t>
  </si>
  <si>
    <t>Rugs/Mats</t>
  </si>
  <si>
    <t>For comfort and safety; choose materials suitable for wet areas.</t>
  </si>
  <si>
    <t>Decorative Accessories</t>
  </si>
  <si>
    <t>Items like vases, candles, or decorative trays.</t>
  </si>
  <si>
    <t>Paint or Wallpaper</t>
  </si>
  <si>
    <t>Moisture-resistant options for bathroom environments.</t>
  </si>
  <si>
    <t>Hardware (Knobs, Pulls)</t>
  </si>
  <si>
    <t>Can be coordinated with fixtures for a cohesive look.</t>
  </si>
  <si>
    <t>Bath Accessories (Soap Dish, Dispenser)</t>
  </si>
  <si>
    <t>Functional items that can also contribute to the decor.</t>
  </si>
  <si>
    <t>Shower Head, System, Tower</t>
  </si>
  <si>
    <t>BathTub, Tub Wall</t>
  </si>
  <si>
    <t>For tub area specifics</t>
  </si>
  <si>
    <t>Tub/Shower Area</t>
  </si>
  <si>
    <t>Wall Wood Accents/Casements, deluze</t>
  </si>
  <si>
    <t>Wall Hanging or Pedestal, or countertop</t>
  </si>
  <si>
    <t>Recessed Lighting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</si>
</sst>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_);[Red]\(&quot;$&quot;#,##0.00\)"/>
  </numFmts>
  <fonts count="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24"/>
      <color theme="3"/>
      <name val="Cambria"/>
      <family val="1"/>
      <scheme val="major"/>
    </font>
    <font>
      <sz val="8.75"/>
      <color theme="1"/>
      <name val="Segoe U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1454817346722"/>
      </left>
      <right/>
      <top/>
      <bottom/>
      <diagonal/>
    </border>
    <border>
      <left/>
      <right style="thin">
        <color theme="6" tint="0.39991454817346722"/>
      </right>
      <top/>
      <bottom/>
      <diagonal/>
    </border>
    <border>
      <left style="thin">
        <color theme="6" tint="0.39991454817346722"/>
      </left>
      <right/>
      <top/>
      <bottom style="thin">
        <color theme="6" tint="0.39994506668294322"/>
      </bottom>
      <diagonal/>
    </border>
    <border>
      <left/>
      <right style="thin">
        <color theme="6" tint="0.39991454817346722"/>
      </right>
      <top/>
      <bottom style="thin">
        <color theme="6" tint="0.39994506668294322"/>
      </bottom>
      <diagonal/>
    </border>
    <border>
      <left style="thin">
        <color theme="6"/>
      </left>
      <right/>
      <top style="thin">
        <color theme="5"/>
      </top>
      <bottom/>
      <diagonal/>
    </border>
    <border>
      <left/>
      <right style="thin">
        <color theme="5" tint="0.39994506668294322"/>
      </right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6"/>
      </left>
      <right style="thin">
        <color theme="6" tint="0.39991454817346722"/>
      </right>
      <top/>
      <bottom style="thin">
        <color theme="6" tint="0.39994506668294322"/>
      </bottom>
      <diagonal/>
    </border>
    <border>
      <left style="thin">
        <color theme="6"/>
      </left>
      <right style="thin">
        <color theme="6" tint="0.39991454817346722"/>
      </right>
      <top/>
      <bottom/>
      <diagonal/>
    </border>
    <border>
      <left/>
      <right/>
      <top style="thin">
        <color theme="5"/>
      </top>
      <bottom/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 tint="0.39994506668294322"/>
      </bottom>
      <diagonal/>
    </border>
    <border>
      <left/>
      <right/>
      <top style="thin">
        <color theme="6" tint="0.39991454817346722"/>
      </top>
      <bottom style="thin">
        <color theme="6" tint="0.39994506668294322"/>
      </bottom>
      <diagonal/>
    </border>
    <border>
      <left style="medium">
        <color rgb="FFD9D9E3"/>
      </left>
      <right/>
      <top/>
      <bottom style="medium">
        <color rgb="FFD9D9E3"/>
      </bottom>
      <diagonal/>
    </border>
    <border>
      <left style="medium">
        <color rgb="FFD9D9E3"/>
      </left>
      <right style="medium">
        <color rgb="FFD9D9E3"/>
      </right>
      <top/>
      <bottom style="medium">
        <color rgb="FFD9D9E3"/>
      </bottom>
      <diagonal/>
    </border>
  </borders>
  <cellStyleXfs count="2">
    <xf numFmtId="0" fontId="0" fillId="0" borderId="0"/>
    <xf numFmtId="0" fontId="6" fillId="0" borderId="1" applyNumberFormat="0" applyFill="0" applyAlignment="0" applyProtection="0"/>
  </cellStyleXfs>
  <cellXfs count="47">
    <xf numFmtId="0" fontId="0" fillId="0" borderId="0" xfId="0"/>
    <xf numFmtId="0" fontId="3" fillId="0" borderId="0" xfId="0" applyFont="1"/>
    <xf numFmtId="0" fontId="6" fillId="0" borderId="1" xfId="1" applyAlignment="1"/>
    <xf numFmtId="0" fontId="5" fillId="0" borderId="0" xfId="0" applyFont="1"/>
    <xf numFmtId="0" fontId="4" fillId="0" borderId="5" xfId="0" applyFont="1" applyBorder="1"/>
    <xf numFmtId="0" fontId="3" fillId="0" borderId="4" xfId="0" applyFont="1" applyBorder="1"/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0" borderId="6" xfId="0" applyNumberFormat="1" applyFont="1" applyBorder="1"/>
    <xf numFmtId="164" fontId="3" fillId="0" borderId="7" xfId="0" applyNumberFormat="1" applyFont="1" applyBorder="1"/>
    <xf numFmtId="164" fontId="3" fillId="0" borderId="0" xfId="0" applyNumberFormat="1" applyFont="1"/>
    <xf numFmtId="164" fontId="3" fillId="0" borderId="12" xfId="0" applyNumberFormat="1" applyFont="1" applyBorder="1"/>
    <xf numFmtId="164" fontId="5" fillId="0" borderId="8" xfId="0" applyNumberFormat="1" applyFont="1" applyBorder="1"/>
    <xf numFmtId="164" fontId="5" fillId="0" borderId="0" xfId="0" applyNumberFormat="1" applyFont="1"/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5" fillId="0" borderId="13" xfId="0" applyFont="1" applyBorder="1"/>
    <xf numFmtId="164" fontId="3" fillId="0" borderId="0" xfId="0" applyNumberFormat="1" applyFont="1" applyAlignment="1">
      <alignment horizontal="center"/>
    </xf>
    <xf numFmtId="164" fontId="5" fillId="0" borderId="17" xfId="0" applyNumberFormat="1" applyFont="1" applyBorder="1"/>
    <xf numFmtId="164" fontId="4" fillId="0" borderId="18" xfId="0" applyNumberFormat="1" applyFont="1" applyBorder="1"/>
    <xf numFmtId="164" fontId="2" fillId="0" borderId="9" xfId="0" applyNumberFormat="1" applyFont="1" applyBorder="1"/>
    <xf numFmtId="164" fontId="2" fillId="0" borderId="0" xfId="0" applyNumberFormat="1" applyFont="1"/>
    <xf numFmtId="164" fontId="2" fillId="4" borderId="11" xfId="0" applyNumberFormat="1" applyFont="1" applyFill="1" applyBorder="1" applyAlignment="1">
      <alignment horizontal="center"/>
    </xf>
    <xf numFmtId="164" fontId="4" fillId="0" borderId="5" xfId="0" applyNumberFormat="1" applyFont="1" applyBorder="1"/>
    <xf numFmtId="0" fontId="1" fillId="0" borderId="0" xfId="0" applyFont="1"/>
    <xf numFmtId="0" fontId="8" fillId="0" borderId="0" xfId="0" applyFont="1" applyAlignment="1">
      <alignment horizontal="center"/>
    </xf>
    <xf numFmtId="0" fontId="1" fillId="0" borderId="14" xfId="0" applyFont="1" applyBorder="1"/>
    <xf numFmtId="164" fontId="1" fillId="0" borderId="6" xfId="0" applyNumberFormat="1" applyFont="1" applyBorder="1"/>
    <xf numFmtId="164" fontId="1" fillId="0" borderId="0" xfId="0" applyNumberFormat="1" applyFont="1"/>
    <xf numFmtId="164" fontId="1" fillId="0" borderId="17" xfId="0" applyNumberFormat="1" applyFont="1" applyBorder="1"/>
    <xf numFmtId="164" fontId="1" fillId="0" borderId="7" xfId="0" applyNumberFormat="1" applyFont="1" applyBorder="1"/>
    <xf numFmtId="164" fontId="1" fillId="0" borderId="12" xfId="0" applyNumberFormat="1" applyFont="1" applyBorder="1"/>
    <xf numFmtId="0" fontId="1" fillId="0" borderId="13" xfId="0" applyFont="1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0" fontId="3" fillId="0" borderId="5" xfId="0" applyFont="1" applyBorder="1"/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</cellXfs>
  <cellStyles count="2">
    <cellStyle name="Heading 1" xfId="1" builtinId="16" customBuiltin="1"/>
    <cellStyle name="Normal" xfId="0" builtinId="0" customBuiltin="1"/>
  </cellStyles>
  <dxfs count="10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  <border diagonalUp="0" diagonalDown="0" outline="0">
        <left/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_);[Red]\(&quot;$&quot;#,##0.00\)"/>
      <border diagonalUp="0" diagonalDown="0" outline="0">
        <left/>
        <right style="thin">
          <color theme="6" tint="0.39991454817346722"/>
        </right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  <border diagonalUp="0" diagonalDown="0">
        <left/>
        <right style="thin">
          <color theme="6" tint="0.399914548173467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_);[Red]\(&quot;$&quot;#,##0.00\)"/>
      <border diagonalUp="0" diagonalDown="0" outline="0">
        <left/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_);[Red]\(&quot;$&quot;#,##0.00\)"/>
      <border diagonalUp="0" diagonalDown="0" outline="0">
        <left style="thin">
          <color theme="6" tint="0.39991454817346722"/>
        </left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14548173467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6"/>
        </left>
        <right style="thin">
          <color theme="6" tint="0.39991454817346722"/>
        </right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 tint="0.399914548173467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6"/>
        </left>
        <right style="thin">
          <color theme="6" tint="0.39991454817346722"/>
        </right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6"/>
        </left>
        <right style="thin">
          <color theme="6" tint="0.399914548173467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  <border diagonalUp="0" diagonalDown="0" outline="0">
        <left/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_);[Red]\(&quot;$&quot;#,##0.00\)"/>
      <border diagonalUp="0" diagonalDown="0" outline="0">
        <left/>
        <right style="thin">
          <color theme="6" tint="0.39991454817346722"/>
        </right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  <border diagonalUp="0" diagonalDown="0">
        <left/>
        <right style="thin">
          <color theme="6" tint="0.399914548173467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_);[Red]\(&quot;$&quot;#,##0.00\)"/>
      <border diagonalUp="0" diagonalDown="0" outline="0">
        <left/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_);[Red]\(&quot;$&quot;#,##0.00\)"/>
      <border diagonalUp="0" diagonalDown="0" outline="0">
        <left style="thin">
          <color theme="6" tint="0.39991454817346722"/>
        </left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14548173467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6"/>
        </left>
        <right style="thin">
          <color theme="6" tint="0.39991454817346722"/>
        </right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 tint="0.399914548173467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6"/>
        </left>
        <right style="thin">
          <color theme="6" tint="0.39991454817346722"/>
        </right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6"/>
        </left>
        <right style="thin">
          <color theme="6" tint="0.399914548173467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  <border diagonalUp="0" diagonalDown="0" outline="0">
        <left/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_);[Red]\(&quot;$&quot;#,##0.00\)"/>
      <border diagonalUp="0" diagonalDown="0" outline="0">
        <left/>
        <right style="thin">
          <color theme="6" tint="0.39991454817346722"/>
        </right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  <border diagonalUp="0" diagonalDown="0">
        <left/>
        <right style="thin">
          <color theme="6" tint="0.399914548173467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border diagonalUp="0" diagonalDown="0" outline="0">
        <left/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border diagonalUp="0" diagonalDown="0" outline="0">
        <left style="thin">
          <color theme="6" tint="0.39991454817346722"/>
        </left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14548173467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6"/>
        </left>
        <right style="thin">
          <color theme="6" tint="0.39991454817346722"/>
        </right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 tint="0.399914548173467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6"/>
        </left>
        <right style="thin">
          <color theme="6" tint="0.39991454817346722"/>
        </right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6"/>
        </left>
        <right style="thin">
          <color theme="6" tint="0.399914548173467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  <border diagonalUp="0" diagonalDown="0" outline="0">
        <left/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_);[Red]\(&quot;$&quot;#,##0.00\)"/>
      <border diagonalUp="0" diagonalDown="0" outline="0">
        <left/>
        <right style="thin">
          <color theme="6" tint="0.39991454817346722"/>
        </right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  <border diagonalUp="0" diagonalDown="0">
        <left/>
        <right style="thin">
          <color theme="6" tint="0.399914548173467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_);[Red]\(&quot;$&quot;#,##0.00\)"/>
      <border diagonalUp="0" diagonalDown="0" outline="0">
        <left/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_);[Red]\(&quot;$&quot;#,##0.00\)"/>
      <border diagonalUp="0" diagonalDown="0" outline="0">
        <left style="thin">
          <color theme="6" tint="0.39991454817346722"/>
        </left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14548173467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6"/>
        </left>
        <right style="thin">
          <color theme="6" tint="0.39991454817346722"/>
        </right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 tint="0.399914548173467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6"/>
        </left>
        <right style="thin">
          <color theme="6" tint="0.39991454817346722"/>
        </right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75"/>
        <color theme="1"/>
        <name val="Segoe UI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6"/>
        </left>
        <right style="thin">
          <color theme="6" tint="0.39991454817346722"/>
        </right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Bathroom remodel cost calculator table" defaultPivotStyle="PivotStyleLight16">
    <tableStyle name="Bathroom remodel cost calculator table" pivot="0" count="7" xr9:uid="{00000000-0011-0000-FFFF-FFFF00000000}">
      <tableStyleElement type="wholeTable" dxfId="103"/>
      <tableStyleElement type="headerRow" dxfId="102"/>
      <tableStyleElement type="totalRow" dxfId="101"/>
      <tableStyleElement type="firstColumn" dxfId="100"/>
      <tableStyleElement type="lastColumn" dxfId="99"/>
      <tableStyleElement type="firstRowStripe" dxfId="98"/>
      <tableStyleElement type="firstColumnStripe" dxfId="9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15</xdr:col>
      <xdr:colOff>304800</xdr:colOff>
      <xdr:row>14</xdr:row>
      <xdr:rowOff>95250</xdr:rowOff>
    </xdr:to>
    <xdr:sp macro="" textlink="">
      <xdr:nvSpPr>
        <xdr:cNvPr id="2" name="Rectangle 1" descr="A note about the Difference columns." title="Note">
          <a:extLst>
            <a:ext uri="{FF2B5EF4-FFF2-40B4-BE49-F238E27FC236}">
              <a16:creationId xmlns:a16="http://schemas.microsoft.com/office/drawing/2014/main" id="{3116C8CD-3524-4C87-B37A-2E5FBFF10A2B}"/>
            </a:ext>
          </a:extLst>
        </xdr:cNvPr>
        <xdr:cNvSpPr/>
      </xdr:nvSpPr>
      <xdr:spPr>
        <a:xfrm>
          <a:off x="14468475" y="666750"/>
          <a:ext cx="1524000" cy="193357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NOTE: Difference columns will show if your actual went over your estimated amounts.  Red numbers show you went over (negative) and under numbers are black (positive). 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14</xdr:col>
      <xdr:colOff>304800</xdr:colOff>
      <xdr:row>13</xdr:row>
      <xdr:rowOff>95250</xdr:rowOff>
    </xdr:to>
    <xdr:sp macro="" textlink="">
      <xdr:nvSpPr>
        <xdr:cNvPr id="2" name="Rectangle 1" descr="A note about the Difference columns." title="Note">
          <a:extLst>
            <a:ext uri="{FF2B5EF4-FFF2-40B4-BE49-F238E27FC236}">
              <a16:creationId xmlns:a16="http://schemas.microsoft.com/office/drawing/2014/main" id="{36EF43E5-EFCA-45A4-AF2D-1A8AC3C12C92}"/>
            </a:ext>
          </a:extLst>
        </xdr:cNvPr>
        <xdr:cNvSpPr/>
      </xdr:nvSpPr>
      <xdr:spPr>
        <a:xfrm>
          <a:off x="14468475" y="666750"/>
          <a:ext cx="1524000" cy="193357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NOTE: Difference columns will show if your actual went over your estimated amounts.  Red numbers show you went over (negative) and under numbers are black (positive). 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14</xdr:col>
      <xdr:colOff>304800</xdr:colOff>
      <xdr:row>13</xdr:row>
      <xdr:rowOff>95250</xdr:rowOff>
    </xdr:to>
    <xdr:sp macro="" textlink="">
      <xdr:nvSpPr>
        <xdr:cNvPr id="2" name="Rectangle 1" descr="A note about the Difference columns." title="Note">
          <a:extLst>
            <a:ext uri="{FF2B5EF4-FFF2-40B4-BE49-F238E27FC236}">
              <a16:creationId xmlns:a16="http://schemas.microsoft.com/office/drawing/2014/main" id="{7183E5CB-7674-4B9C-8752-B5DD8FF2CCB0}"/>
            </a:ext>
          </a:extLst>
        </xdr:cNvPr>
        <xdr:cNvSpPr/>
      </xdr:nvSpPr>
      <xdr:spPr>
        <a:xfrm>
          <a:off x="18354675" y="666750"/>
          <a:ext cx="1524000" cy="193357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NOTE: Difference columns will show if your actual went over your estimated amounts.  Red numbers show you went over (negative) and under numbers are black (positive). 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15</xdr:col>
      <xdr:colOff>304800</xdr:colOff>
      <xdr:row>13</xdr:row>
      <xdr:rowOff>95250</xdr:rowOff>
    </xdr:to>
    <xdr:sp macro="" textlink="">
      <xdr:nvSpPr>
        <xdr:cNvPr id="2" name="Rectangle 1" descr="A note about the Difference columns." title="Note">
          <a:extLst>
            <a:ext uri="{FF2B5EF4-FFF2-40B4-BE49-F238E27FC236}">
              <a16:creationId xmlns:a16="http://schemas.microsoft.com/office/drawing/2014/main" id="{97C9BB90-F103-4042-869C-AF95D2953680}"/>
            </a:ext>
          </a:extLst>
        </xdr:cNvPr>
        <xdr:cNvSpPr/>
      </xdr:nvSpPr>
      <xdr:spPr>
        <a:xfrm>
          <a:off x="14468475" y="666750"/>
          <a:ext cx="1524000" cy="193357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NOTE: Difference columns will show if your actual went over your estimated amounts.  Red numbers show you went over (negative) and under numbers are black (positive). 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0D93193-FCEA-40CD-BD87-D84C6A628DDD}" name="tblCosts56" displayName="tblCosts56" ref="B5:L35" totalsRowCount="1" headerRowDxfId="96" dataDxfId="95">
  <autoFilter ref="B5:L34" xr:uid="{00000000-0009-0000-0100-000001000000}"/>
  <tableColumns count="11">
    <tableColumn id="1" xr3:uid="{416FDC45-A472-4FBA-8257-A6D572F757EA}" name="Area" totalsRowDxfId="94"/>
    <tableColumn id="2" xr3:uid="{6305D463-8850-42D8-A75C-2F7814172A64}" name="Items" totalsRowLabel="Subtotal" totalsRowDxfId="93"/>
    <tableColumn id="10" xr3:uid="{00C3DAB2-4D70-4E9F-9342-819FB4C48892}" name="Key Consideration For Fixture" totalsRowDxfId="92"/>
    <tableColumn id="11" xr3:uid="{F73FB763-818C-4D28-B491-D408282A4AE0}" name="Notes" dataDxfId="91" totalsRowDxfId="90"/>
    <tableColumn id="3" xr3:uid="{DF5EF297-6949-46CA-B357-6FA54FEF979D}" name="Quantity" dataDxfId="89" totalsRowDxfId="88"/>
    <tableColumn id="4" xr3:uid="{8410DCC0-AE36-4F58-8F07-205FA9F89FA2}" name="Estimated" totalsRowFunction="sum" dataDxfId="87" totalsRowDxfId="86"/>
    <tableColumn id="5" xr3:uid="{7A332B32-A20E-4271-8724-8B3FE2C12592}" name="Actual" totalsRowFunction="sum" dataDxfId="85" totalsRowDxfId="84">
      <calculatedColumnFormula>RANDBETWEEN(G6+2,G6+20)</calculatedColumnFormula>
    </tableColumn>
    <tableColumn id="8" xr3:uid="{626535E6-39E2-4188-B7B8-12DF9DEAFBF4}" name="Difference" totalsRowFunction="sum" dataDxfId="83" totalsRowDxfId="82">
      <calculatedColumnFormula>tblCosts56[[#This Row],[Estimated]]-tblCosts56[[#This Row],[Actual]]</calculatedColumnFormula>
    </tableColumn>
    <tableColumn id="6" xr3:uid="{01A72AEA-D599-4F67-A6C2-B337F2F1AD20}" name="Estimated " totalsRowFunction="sum" dataDxfId="81" totalsRowDxfId="80">
      <calculatedColumnFormula>tblCosts56[[#This Row],[Quantity]]*tblCosts56[[#This Row],[Estimated]]</calculatedColumnFormula>
    </tableColumn>
    <tableColumn id="7" xr3:uid="{35A3448A-3F05-46FC-AAC2-A30DB007CA74}" name="Actual " totalsRowFunction="sum" dataDxfId="79" totalsRowDxfId="78">
      <calculatedColumnFormula>tblCosts56[[#This Row],[Quantity]]*tblCosts56[[#This Row],[Actual]]</calculatedColumnFormula>
    </tableColumn>
    <tableColumn id="9" xr3:uid="{792E95AD-A91C-443E-977E-45E459FAEBBA}" name="Difference " totalsRowFunction="sum" dataDxfId="77" totalsRowDxfId="76">
      <calculatedColumnFormula>tblCosts56[[#This Row],[Estimated ]]-tblCosts56[[#This Row],[Actual ]]</calculatedColumnFormula>
    </tableColumn>
  </tableColumns>
  <tableStyleInfo name="Bathroom remodel cost calculator table" showFirstColumn="0" showLastColumn="0" showRowStripes="1" showColumnStripes="0"/>
  <extLst>
    <ext xmlns:x14="http://schemas.microsoft.com/office/spreadsheetml/2009/9/main" uri="{504A1905-F514-4f6f-8877-14C23A59335A}">
      <x14:table altText="Remodel costs" altTextSummary="Enter specifics about items, their costs, both estimated and actual, and quantit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21F68C8-824D-4FA1-8C41-A0E350AA0525}" name="tblCosts5" displayName="tblCosts5" ref="B5:K26" totalsRowCount="1" headerRowDxfId="75" dataDxfId="74">
  <autoFilter ref="B5:K25" xr:uid="{00000000-0009-0000-0100-000001000000}"/>
  <tableColumns count="10">
    <tableColumn id="1" xr3:uid="{2887DC6B-47A6-4CA0-AFF2-C94CA2B235EE}" name="Area" dataDxfId="73" totalsRowDxfId="72"/>
    <tableColumn id="2" xr3:uid="{EFAF8EBA-4EEB-40EF-BE84-9D544F823C25}" name="Items" totalsRowLabel="Subtotal" dataDxfId="71" totalsRowDxfId="70"/>
    <tableColumn id="10" xr3:uid="{E12C4A2A-9B29-444F-AD3F-0EBBCB2F5660}" name="Key Consideration For Fixture" dataDxfId="69" totalsRowDxfId="68"/>
    <tableColumn id="3" xr3:uid="{AB72C66A-35D8-4E10-83CB-981C2F0C356B}" name="Quantity" dataDxfId="67" totalsRowDxfId="66"/>
    <tableColumn id="4" xr3:uid="{06A2D9E2-A494-488A-95F6-5216C60AD31D}" name="Estimated" totalsRowFunction="sum" dataDxfId="65" totalsRowDxfId="64"/>
    <tableColumn id="5" xr3:uid="{23D3E0BF-EA68-4C4F-B861-33974851190B}" name="Actual" totalsRowFunction="sum" dataDxfId="63" totalsRowDxfId="62">
      <calculatedColumnFormula>RANDBETWEEN(F6+2,F6+20)</calculatedColumnFormula>
    </tableColumn>
    <tableColumn id="8" xr3:uid="{FC512081-A142-41F8-B5A3-3774A2CB6867}" name="Difference" totalsRowFunction="sum" dataDxfId="61" totalsRowDxfId="60">
      <calculatedColumnFormula>tblCosts5[[#This Row],[Estimated]]-tblCosts5[[#This Row],[Actual]]</calculatedColumnFormula>
    </tableColumn>
    <tableColumn id="6" xr3:uid="{C99E7F1C-63D4-49DB-8ADE-7C51E44A7F9B}" name="Estimated " totalsRowFunction="sum" dataDxfId="59" totalsRowDxfId="58">
      <calculatedColumnFormula>tblCosts5[[#This Row],[Quantity]]*tblCosts5[[#This Row],[Estimated]]</calculatedColumnFormula>
    </tableColumn>
    <tableColumn id="7" xr3:uid="{470BB47F-7E08-476A-80DF-51F48E3895E4}" name="Actual " totalsRowFunction="sum" dataDxfId="57" totalsRowDxfId="56">
      <calculatedColumnFormula>tblCosts5[[#This Row],[Quantity]]*tblCosts5[[#This Row],[Actual]]</calculatedColumnFormula>
    </tableColumn>
    <tableColumn id="9" xr3:uid="{3B70030B-0040-4D10-81BA-9E4EE41001BE}" name="Difference " totalsRowFunction="sum" dataDxfId="55" totalsRowDxfId="54">
      <calculatedColumnFormula>tblCosts5[[#This Row],[Estimated ]]-tblCosts5[[#This Row],[Actual ]]</calculatedColumnFormula>
    </tableColumn>
  </tableColumns>
  <tableStyleInfo name="Bathroom remodel cost calculator table" showFirstColumn="0" showLastColumn="0" showRowStripes="1" showColumnStripes="0"/>
  <extLst>
    <ext xmlns:x14="http://schemas.microsoft.com/office/spreadsheetml/2009/9/main" uri="{504A1905-F514-4f6f-8877-14C23A59335A}">
      <x14:table altText="Remodel costs" altTextSummary="Enter specifics about items, their costs, both estimated and actual, and quantity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90E79D0-4F11-4D71-8A32-457E16AC175C}" name="tblCosts34" displayName="tblCosts34" ref="B5:K20" totalsRowCount="1" headerRowDxfId="53" dataDxfId="52">
  <autoFilter ref="B5:K19" xr:uid="{00000000-0009-0000-0100-000001000000}"/>
  <tableColumns count="10">
    <tableColumn id="1" xr3:uid="{2BE21D5B-FE48-487C-87D7-BC8062F0DD47}" name="Tools and Equipment" dataDxfId="51" totalsRowDxfId="50"/>
    <tableColumn id="2" xr3:uid="{678AD50B-B80E-466E-B64A-B499361EAC12}" name="Purpose" totalsRowLabel="Subtotal" dataDxfId="49" totalsRowDxfId="48"/>
    <tableColumn id="10" xr3:uid="{56D9F632-F0AF-4591-9450-68CD4FAC6086}" name="Notes" dataDxfId="47" totalsRowDxfId="46"/>
    <tableColumn id="3" xr3:uid="{39E58DDB-FDC0-4C61-A03E-B2450EEDACC7}" name="Quantity" dataDxfId="45" totalsRowDxfId="44"/>
    <tableColumn id="4" xr3:uid="{996495C6-41B0-4C83-A7A3-4A72A7EC2B46}" name="Estimated" totalsRowFunction="sum" dataDxfId="43" totalsRowDxfId="42"/>
    <tableColumn id="5" xr3:uid="{9AAB1BC7-9A76-440A-92BB-052C6AF0C13D}" name="Actual" totalsRowFunction="sum" dataDxfId="41" totalsRowDxfId="40">
      <calculatedColumnFormula>RANDBETWEEN(F6+2,F6+20)</calculatedColumnFormula>
    </tableColumn>
    <tableColumn id="8" xr3:uid="{F4126D75-1755-4BF9-AE58-4341E0F85588}" name="Difference" totalsRowFunction="sum" dataDxfId="39" totalsRowDxfId="38">
      <calculatedColumnFormula>tblCosts34[[#This Row],[Estimated]]-tblCosts34[[#This Row],[Actual]]</calculatedColumnFormula>
    </tableColumn>
    <tableColumn id="6" xr3:uid="{4B5EE828-C0B6-45B6-86EC-A62069A0A567}" name="Estimated " totalsRowFunction="sum" dataDxfId="37" totalsRowDxfId="36">
      <calculatedColumnFormula>tblCosts34[[#This Row],[Quantity]]*tblCosts34[[#This Row],[Estimated]]</calculatedColumnFormula>
    </tableColumn>
    <tableColumn id="7" xr3:uid="{F68B1809-0203-4F2F-ACA0-DDD9193F2CC7}" name="Actual " totalsRowFunction="sum" dataDxfId="35" totalsRowDxfId="34">
      <calculatedColumnFormula>tblCosts34[[#This Row],[Quantity]]*tblCosts34[[#This Row],[Actual]]</calculatedColumnFormula>
    </tableColumn>
    <tableColumn id="9" xr3:uid="{061C5C29-E804-4A23-BB25-579CD1A62A2E}" name="Difference " totalsRowFunction="sum" dataDxfId="33" totalsRowDxfId="32">
      <calculatedColumnFormula>tblCosts34[[#This Row],[Estimated ]]-tblCosts34[[#This Row],[Actual ]]</calculatedColumnFormula>
    </tableColumn>
  </tableColumns>
  <tableStyleInfo name="Bathroom remodel cost calculator table" showFirstColumn="0" showLastColumn="0" showRowStripes="1" showColumnStripes="0"/>
  <extLst>
    <ext xmlns:x14="http://schemas.microsoft.com/office/spreadsheetml/2009/9/main" uri="{504A1905-F514-4f6f-8877-14C23A59335A}">
      <x14:table altText="Remodel costs" altTextSummary="Enter specifics about items, their costs, both estimated and actual, and quantity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85D39C-C71A-4888-A714-7859CE38C755}" name="tblCosts3" displayName="tblCosts3" ref="B5:L32" totalsRowCount="1" headerRowDxfId="31" dataDxfId="30">
  <autoFilter ref="B5:L31" xr:uid="{00000000-0009-0000-0100-000001000000}"/>
  <tableColumns count="11">
    <tableColumn id="1" xr3:uid="{D737820C-B2F5-4CD7-80B0-3FCB17006831}" name="Component" dataDxfId="29" totalsRowDxfId="28"/>
    <tableColumn id="11" xr3:uid="{EC99521D-7DFF-4CCE-B935-B7BC7B878D1D}" name="Items" dataDxfId="27" totalsRowDxfId="26"/>
    <tableColumn id="2" xr3:uid="{6870B4BB-3D62-4086-B173-004C000AB9D5}" name="Purpose" totalsRowLabel="Subtotal" dataDxfId="25" totalsRowDxfId="24"/>
    <tableColumn id="10" xr3:uid="{533A81D3-39E8-4BF5-A040-A3C9DF79AA33}" name="Notes" dataDxfId="23" totalsRowDxfId="22"/>
    <tableColumn id="3" xr3:uid="{47A53DD4-2F88-47E1-BC0C-FA4A770AAD7C}" name="Quantity" dataDxfId="21" totalsRowDxfId="20"/>
    <tableColumn id="4" xr3:uid="{1C44E2BF-D2A9-4ABB-991F-CCB29FE729BD}" name="Estimated" totalsRowFunction="sum" dataDxfId="19" totalsRowDxfId="18"/>
    <tableColumn id="5" xr3:uid="{0DE7668C-2632-445A-B4DF-2E914471123F}" name="Actual" totalsRowFunction="sum" dataDxfId="17" totalsRowDxfId="16">
      <calculatedColumnFormula>RANDBETWEEN(G6+2,G6+20)</calculatedColumnFormula>
    </tableColumn>
    <tableColumn id="8" xr3:uid="{F21DB81B-3A93-4498-B90D-2435A08DB609}" name="Difference" totalsRowFunction="sum" dataDxfId="15" totalsRowDxfId="14">
      <calculatedColumnFormula>tblCosts3[[#This Row],[Estimated]]-tblCosts3[[#This Row],[Actual]]</calculatedColumnFormula>
    </tableColumn>
    <tableColumn id="6" xr3:uid="{FB8D99A6-207D-4692-85D9-D3A98FC693E2}" name="Estimated " totalsRowFunction="sum" dataDxfId="13" totalsRowDxfId="12">
      <calculatedColumnFormula>tblCosts3[[#This Row],[Quantity]]*tblCosts3[[#This Row],[Estimated]]</calculatedColumnFormula>
    </tableColumn>
    <tableColumn id="7" xr3:uid="{9CCF5A51-8815-4413-B87B-D5547499B634}" name="Actual " totalsRowFunction="sum" dataDxfId="11" totalsRowDxfId="10">
      <calculatedColumnFormula>tblCosts3[[#This Row],[Quantity]]*tblCosts3[[#This Row],[Actual]]</calculatedColumnFormula>
    </tableColumn>
    <tableColumn id="9" xr3:uid="{B4C46193-102D-4B9F-87C4-CE58211EC60F}" name="Difference " totalsRowFunction="sum" dataDxfId="9" totalsRowDxfId="8">
      <calculatedColumnFormula>tblCosts3[[#This Row],[Estimated ]]-tblCosts3[[#This Row],[Actual ]]</calculatedColumnFormula>
    </tableColumn>
  </tableColumns>
  <tableStyleInfo name="Bathroom remodel cost calculator table" showFirstColumn="0" showLastColumn="0" showRowStripes="1" showColumnStripes="0"/>
  <extLst>
    <ext xmlns:x14="http://schemas.microsoft.com/office/spreadsheetml/2009/9/main" uri="{504A1905-F514-4f6f-8877-14C23A59335A}">
      <x14:table altText="Remodel costs" altTextSummary="Enter specifics about items, their costs, both estimated and actual, and quantity."/>
    </ext>
  </extLst>
</table>
</file>

<file path=xl/theme/theme1.xml><?xml version="1.0" encoding="utf-8"?>
<a:theme xmlns:a="http://schemas.openxmlformats.org/drawingml/2006/main" name="Office Theme">
  <a:themeElements>
    <a:clrScheme name="Bathroom remodel cost calculato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Bathroom remodel cost calculator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F1A9C-EECC-4318-8C5F-353FCC249251}">
  <sheetPr>
    <tabColor rgb="FF808000"/>
    <pageSetUpPr autoPageBreaks="0" fitToPage="1"/>
  </sheetPr>
  <dimension ref="B2:L37"/>
  <sheetViews>
    <sheetView showGridLines="0" workbookViewId="0">
      <selection activeCell="D47" sqref="D47"/>
    </sheetView>
  </sheetViews>
  <sheetFormatPr defaultRowHeight="15" x14ac:dyDescent="0.25"/>
  <cols>
    <col min="1" max="1" width="1.5703125" style="1" customWidth="1"/>
    <col min="2" max="2" width="17.7109375" style="1" customWidth="1"/>
    <col min="3" max="3" width="42.28515625" style="1" customWidth="1"/>
    <col min="4" max="4" width="60" style="1" bestFit="1" customWidth="1"/>
    <col min="5" max="5" width="47.42578125" style="1" customWidth="1"/>
    <col min="6" max="6" width="16.140625" style="1" customWidth="1"/>
    <col min="7" max="12" width="15.7109375" style="1" customWidth="1"/>
    <col min="13" max="13" width="2.7109375" style="1" customWidth="1"/>
    <col min="14" max="16384" width="9.140625" style="1"/>
  </cols>
  <sheetData>
    <row r="2" spans="2:12" ht="30.75" thickBot="1" x14ac:dyDescent="0.45">
      <c r="B2" s="2" t="s">
        <v>139</v>
      </c>
      <c r="C2" s="2"/>
      <c r="D2" s="2"/>
      <c r="E2" s="2"/>
      <c r="F2" s="2"/>
      <c r="G2" s="2"/>
      <c r="H2" s="2"/>
      <c r="I2" s="2"/>
      <c r="J2" s="2"/>
    </row>
    <row r="3" spans="2:12" ht="6.75" customHeight="1" thickTop="1" x14ac:dyDescent="0.25"/>
    <row r="4" spans="2:12" x14ac:dyDescent="0.25">
      <c r="G4" s="42" t="s">
        <v>2</v>
      </c>
      <c r="H4" s="43"/>
      <c r="I4" s="44"/>
      <c r="J4" s="45" t="s">
        <v>3</v>
      </c>
      <c r="K4" s="46"/>
      <c r="L4" s="46"/>
    </row>
    <row r="5" spans="2:12" s="40" customFormat="1" ht="15.75" customHeight="1" x14ac:dyDescent="0.25">
      <c r="B5" s="40" t="s">
        <v>39</v>
      </c>
      <c r="C5" s="40" t="s">
        <v>0</v>
      </c>
      <c r="D5" s="41" t="s">
        <v>45</v>
      </c>
      <c r="E5" s="41" t="s">
        <v>137</v>
      </c>
      <c r="F5" s="15" t="s">
        <v>1</v>
      </c>
      <c r="G5" s="6" t="s">
        <v>5</v>
      </c>
      <c r="H5" s="18" t="s">
        <v>6</v>
      </c>
      <c r="I5" s="7" t="s">
        <v>43</v>
      </c>
      <c r="J5" s="8" t="s">
        <v>40</v>
      </c>
      <c r="K5" s="8" t="s">
        <v>41</v>
      </c>
      <c r="L5" s="23" t="s">
        <v>44</v>
      </c>
    </row>
    <row r="6" spans="2:12" ht="14.25" customHeight="1" thickBot="1" x14ac:dyDescent="0.3">
      <c r="B6" s="37" t="s">
        <v>198</v>
      </c>
      <c r="C6" s="37" t="s">
        <v>195</v>
      </c>
      <c r="D6" s="38" t="s">
        <v>144</v>
      </c>
      <c r="E6" s="39"/>
      <c r="F6" s="16">
        <v>1</v>
      </c>
      <c r="G6" s="9">
        <v>250</v>
      </c>
      <c r="H6" s="11">
        <f t="shared" ref="H6:H28" ca="1" si="0">RANDBETWEEN(G6+2,G6+20)</f>
        <v>257</v>
      </c>
      <c r="I6" s="10">
        <f ca="1">tblCosts56[[#This Row],[Estimated]]-tblCosts56[[#This Row],[Actual]]</f>
        <v>-7</v>
      </c>
      <c r="J6" s="11">
        <f>tblCosts56[[#This Row],[Quantity]]*tblCosts56[[#This Row],[Estimated]]</f>
        <v>250</v>
      </c>
      <c r="K6" s="11">
        <f ca="1">tblCosts56[[#This Row],[Quantity]]*tblCosts56[[#This Row],[Actual]]</f>
        <v>257</v>
      </c>
      <c r="L6" s="12">
        <f ca="1">tblCosts56[[#This Row],[Estimated ]]-tblCosts56[[#This Row],[Actual ]]</f>
        <v>-7</v>
      </c>
    </row>
    <row r="7" spans="2:12" ht="14.25" customHeight="1" thickBot="1" x14ac:dyDescent="0.3">
      <c r="B7" s="37"/>
      <c r="C7" s="37" t="s">
        <v>145</v>
      </c>
      <c r="D7" s="38" t="s">
        <v>146</v>
      </c>
      <c r="E7" s="39"/>
      <c r="F7" s="16">
        <v>1</v>
      </c>
      <c r="G7" s="9">
        <v>200</v>
      </c>
      <c r="H7" s="11">
        <f t="shared" ca="1" si="0"/>
        <v>217</v>
      </c>
      <c r="I7" s="10">
        <f ca="1">tblCosts56[[#This Row],[Estimated]]-tblCosts56[[#This Row],[Actual]]</f>
        <v>-17</v>
      </c>
      <c r="J7" s="11">
        <f>tblCosts56[[#This Row],[Quantity]]*tblCosts56[[#This Row],[Estimated]]</f>
        <v>200</v>
      </c>
      <c r="K7" s="11">
        <f ca="1">tblCosts56[[#This Row],[Quantity]]*tblCosts56[[#This Row],[Actual]]</f>
        <v>217</v>
      </c>
      <c r="L7" s="12">
        <f ca="1">tblCosts56[[#This Row],[Estimated ]]-tblCosts56[[#This Row],[Actual ]]</f>
        <v>-17</v>
      </c>
    </row>
    <row r="8" spans="2:12" ht="14.25" customHeight="1" thickBot="1" x14ac:dyDescent="0.3">
      <c r="B8" s="37"/>
      <c r="C8" s="37" t="s">
        <v>147</v>
      </c>
      <c r="D8" s="38" t="s">
        <v>148</v>
      </c>
      <c r="E8" s="39"/>
      <c r="F8" s="16">
        <v>1</v>
      </c>
      <c r="G8" s="9">
        <v>50</v>
      </c>
      <c r="H8" s="11">
        <f t="shared" ca="1" si="0"/>
        <v>54</v>
      </c>
      <c r="I8" s="10">
        <f ca="1">tblCosts56[[#This Row],[Estimated]]-tblCosts56[[#This Row],[Actual]]</f>
        <v>-4</v>
      </c>
      <c r="J8" s="11">
        <f>tblCosts56[[#This Row],[Quantity]]*tblCosts56[[#This Row],[Estimated]]</f>
        <v>50</v>
      </c>
      <c r="K8" s="11">
        <f ca="1">tblCosts56[[#This Row],[Quantity]]*tblCosts56[[#This Row],[Actual]]</f>
        <v>54</v>
      </c>
      <c r="L8" s="12">
        <f ca="1">tblCosts56[[#This Row],[Estimated ]]-tblCosts56[[#This Row],[Actual ]]</f>
        <v>-4</v>
      </c>
    </row>
    <row r="9" spans="2:12" ht="14.25" customHeight="1" thickBot="1" x14ac:dyDescent="0.3">
      <c r="B9" s="37"/>
      <c r="C9" s="37" t="s">
        <v>95</v>
      </c>
      <c r="D9" s="38" t="s">
        <v>149</v>
      </c>
      <c r="E9" s="39"/>
      <c r="F9" s="16">
        <v>1</v>
      </c>
      <c r="G9" s="9">
        <v>200</v>
      </c>
      <c r="H9" s="11">
        <f t="shared" ca="1" si="0"/>
        <v>219</v>
      </c>
      <c r="I9" s="10">
        <f ca="1">tblCosts56[[#This Row],[Estimated]]-tblCosts56[[#This Row],[Actual]]</f>
        <v>-19</v>
      </c>
      <c r="J9" s="11">
        <f>tblCosts56[[#This Row],[Quantity]]*tblCosts56[[#This Row],[Estimated]]</f>
        <v>200</v>
      </c>
      <c r="K9" s="11">
        <f ca="1">tblCosts56[[#This Row],[Quantity]]*tblCosts56[[#This Row],[Actual]]</f>
        <v>219</v>
      </c>
      <c r="L9" s="12">
        <f ca="1">tblCosts56[[#This Row],[Estimated ]]-tblCosts56[[#This Row],[Actual ]]</f>
        <v>-19</v>
      </c>
    </row>
    <row r="10" spans="2:12" ht="14.25" customHeight="1" thickBot="1" x14ac:dyDescent="0.3">
      <c r="B10" s="37"/>
      <c r="C10" s="37" t="s">
        <v>150</v>
      </c>
      <c r="D10" s="38" t="s">
        <v>151</v>
      </c>
      <c r="E10" s="39"/>
      <c r="F10" s="16">
        <v>1</v>
      </c>
      <c r="G10" s="9">
        <v>200</v>
      </c>
      <c r="H10" s="11">
        <f t="shared" ca="1" si="0"/>
        <v>210</v>
      </c>
      <c r="I10" s="10">
        <f ca="1">tblCosts56[[#This Row],[Estimated]]-tblCosts56[[#This Row],[Actual]]</f>
        <v>-10</v>
      </c>
      <c r="J10" s="11">
        <f>tblCosts56[[#This Row],[Quantity]]*tblCosts56[[#This Row],[Estimated]]</f>
        <v>200</v>
      </c>
      <c r="K10" s="11">
        <f ca="1">tblCosts56[[#This Row],[Quantity]]*tblCosts56[[#This Row],[Actual]]</f>
        <v>210</v>
      </c>
      <c r="L10" s="12">
        <f ca="1">tblCosts56[[#This Row],[Estimated ]]-tblCosts56[[#This Row],[Actual ]]</f>
        <v>-10</v>
      </c>
    </row>
    <row r="11" spans="2:12" ht="14.25" customHeight="1" thickBot="1" x14ac:dyDescent="0.3">
      <c r="B11" s="37"/>
      <c r="C11" s="37" t="s">
        <v>196</v>
      </c>
      <c r="D11" s="38" t="s">
        <v>197</v>
      </c>
      <c r="E11" s="39"/>
      <c r="F11" s="16">
        <v>1</v>
      </c>
      <c r="G11" s="9">
        <v>200</v>
      </c>
      <c r="H11" s="11">
        <f t="shared" ref="H11" ca="1" si="1">RANDBETWEEN(G11+2,G11+20)</f>
        <v>205</v>
      </c>
      <c r="I11" s="10">
        <f ca="1">tblCosts56[[#This Row],[Estimated]]-tblCosts56[[#This Row],[Actual]]</f>
        <v>-5</v>
      </c>
      <c r="J11" s="11">
        <f>tblCosts56[[#This Row],[Quantity]]*tblCosts56[[#This Row],[Estimated]]</f>
        <v>200</v>
      </c>
      <c r="K11" s="11">
        <f ca="1">tblCosts56[[#This Row],[Quantity]]*tblCosts56[[#This Row],[Actual]]</f>
        <v>205</v>
      </c>
      <c r="L11" s="12">
        <f ca="1">tblCosts56[[#This Row],[Estimated ]]-tblCosts56[[#This Row],[Actual ]]</f>
        <v>-5</v>
      </c>
    </row>
    <row r="12" spans="2:12" ht="14.25" customHeight="1" thickBot="1" x14ac:dyDescent="0.3">
      <c r="B12" s="37" t="s">
        <v>152</v>
      </c>
      <c r="C12" s="37" t="s">
        <v>153</v>
      </c>
      <c r="D12" s="38" t="s">
        <v>154</v>
      </c>
      <c r="E12" s="39"/>
      <c r="F12" s="16">
        <v>1</v>
      </c>
      <c r="G12" s="9">
        <v>100</v>
      </c>
      <c r="H12" s="11">
        <f t="shared" ca="1" si="0"/>
        <v>103</v>
      </c>
      <c r="I12" s="10">
        <f ca="1">tblCosts56[[#This Row],[Estimated]]-tblCosts56[[#This Row],[Actual]]</f>
        <v>-3</v>
      </c>
      <c r="J12" s="11">
        <f>tblCosts56[[#This Row],[Quantity]]*tblCosts56[[#This Row],[Estimated]]</f>
        <v>100</v>
      </c>
      <c r="K12" s="11">
        <f ca="1">tblCosts56[[#This Row],[Quantity]]*tblCosts56[[#This Row],[Actual]]</f>
        <v>103</v>
      </c>
      <c r="L12" s="12">
        <f ca="1">tblCosts56[[#This Row],[Estimated ]]-tblCosts56[[#This Row],[Actual ]]</f>
        <v>-3</v>
      </c>
    </row>
    <row r="13" spans="2:12" ht="14.25" customHeight="1" thickBot="1" x14ac:dyDescent="0.3">
      <c r="B13" s="37"/>
      <c r="C13" s="37" t="s">
        <v>155</v>
      </c>
      <c r="D13" s="38" t="s">
        <v>156</v>
      </c>
      <c r="E13" s="39"/>
      <c r="F13" s="16">
        <v>1</v>
      </c>
      <c r="G13" s="9">
        <v>22.5</v>
      </c>
      <c r="H13" s="11">
        <f t="shared" ca="1" si="0"/>
        <v>32</v>
      </c>
      <c r="I13" s="10">
        <f ca="1">tblCosts56[[#This Row],[Estimated]]-tblCosts56[[#This Row],[Actual]]</f>
        <v>-9.5</v>
      </c>
      <c r="J13" s="11">
        <f>tblCosts56[[#This Row],[Quantity]]*tblCosts56[[#This Row],[Estimated]]</f>
        <v>22.5</v>
      </c>
      <c r="K13" s="11">
        <f ca="1">tblCosts56[[#This Row],[Quantity]]*tblCosts56[[#This Row],[Actual]]</f>
        <v>32</v>
      </c>
      <c r="L13" s="12">
        <f ca="1">tblCosts56[[#This Row],[Estimated ]]-tblCosts56[[#This Row],[Actual ]]</f>
        <v>-9.5</v>
      </c>
    </row>
    <row r="14" spans="2:12" ht="14.25" customHeight="1" thickBot="1" x14ac:dyDescent="0.3">
      <c r="B14" s="37"/>
      <c r="C14" s="37" t="s">
        <v>157</v>
      </c>
      <c r="D14" s="38" t="s">
        <v>158</v>
      </c>
      <c r="E14" s="39"/>
      <c r="F14" s="16">
        <v>1</v>
      </c>
      <c r="G14" s="9">
        <v>90</v>
      </c>
      <c r="H14" s="11">
        <f t="shared" ca="1" si="0"/>
        <v>106</v>
      </c>
      <c r="I14" s="10">
        <f ca="1">tblCosts56[[#This Row],[Estimated]]-tblCosts56[[#This Row],[Actual]]</f>
        <v>-16</v>
      </c>
      <c r="J14" s="11">
        <f>tblCosts56[[#This Row],[Quantity]]*tblCosts56[[#This Row],[Estimated]]</f>
        <v>90</v>
      </c>
      <c r="K14" s="11">
        <f ca="1">tblCosts56[[#This Row],[Quantity]]*tblCosts56[[#This Row],[Actual]]</f>
        <v>106</v>
      </c>
      <c r="L14" s="12">
        <f ca="1">tblCosts56[[#This Row],[Estimated ]]-tblCosts56[[#This Row],[Actual ]]</f>
        <v>-16</v>
      </c>
    </row>
    <row r="15" spans="2:12" ht="14.25" customHeight="1" thickBot="1" x14ac:dyDescent="0.3">
      <c r="B15" s="37"/>
      <c r="C15" s="37" t="s">
        <v>159</v>
      </c>
      <c r="D15" s="38" t="s">
        <v>160</v>
      </c>
      <c r="E15" s="39"/>
      <c r="F15" s="16">
        <v>1</v>
      </c>
      <c r="G15" s="9">
        <v>115</v>
      </c>
      <c r="H15" s="11">
        <f t="shared" ca="1" si="0"/>
        <v>127</v>
      </c>
      <c r="I15" s="10">
        <f ca="1">tblCosts56[[#This Row],[Estimated]]-tblCosts56[[#This Row],[Actual]]</f>
        <v>-12</v>
      </c>
      <c r="J15" s="11">
        <f>tblCosts56[[#This Row],[Quantity]]*tblCosts56[[#This Row],[Estimated]]</f>
        <v>115</v>
      </c>
      <c r="K15" s="11">
        <f ca="1">tblCosts56[[#This Row],[Quantity]]*tblCosts56[[#This Row],[Actual]]</f>
        <v>127</v>
      </c>
      <c r="L15" s="12">
        <f ca="1">tblCosts56[[#This Row],[Estimated ]]-tblCosts56[[#This Row],[Actual ]]</f>
        <v>-12</v>
      </c>
    </row>
    <row r="16" spans="2:12" ht="14.25" customHeight="1" thickBot="1" x14ac:dyDescent="0.3">
      <c r="B16" s="37"/>
      <c r="C16" s="37" t="s">
        <v>161</v>
      </c>
      <c r="D16" s="38" t="s">
        <v>162</v>
      </c>
      <c r="E16" s="39"/>
      <c r="F16" s="16">
        <v>1</v>
      </c>
      <c r="G16" s="9">
        <v>95</v>
      </c>
      <c r="H16" s="11">
        <f t="shared" ca="1" si="0"/>
        <v>108</v>
      </c>
      <c r="I16" s="10">
        <f ca="1">tblCosts56[[#This Row],[Estimated]]-tblCosts56[[#This Row],[Actual]]</f>
        <v>-13</v>
      </c>
      <c r="J16" s="11">
        <f>tblCosts56[[#This Row],[Quantity]]*tblCosts56[[#This Row],[Estimated]]</f>
        <v>95</v>
      </c>
      <c r="K16" s="11">
        <f ca="1">tblCosts56[[#This Row],[Quantity]]*tblCosts56[[#This Row],[Actual]]</f>
        <v>108</v>
      </c>
      <c r="L16" s="12">
        <f ca="1">tblCosts56[[#This Row],[Estimated ]]-tblCosts56[[#This Row],[Actual ]]</f>
        <v>-13</v>
      </c>
    </row>
    <row r="17" spans="2:12" ht="14.25" customHeight="1" thickBot="1" x14ac:dyDescent="0.3">
      <c r="B17" s="37"/>
      <c r="C17" s="37" t="s">
        <v>26</v>
      </c>
      <c r="D17" s="38" t="s">
        <v>200</v>
      </c>
      <c r="E17" s="39"/>
      <c r="F17" s="16">
        <v>1</v>
      </c>
      <c r="G17" s="9">
        <v>95</v>
      </c>
      <c r="H17" s="11">
        <f t="shared" ref="H17" ca="1" si="2">RANDBETWEEN(G17+2,G17+20)</f>
        <v>110</v>
      </c>
      <c r="I17" s="10">
        <f ca="1">tblCosts56[[#This Row],[Estimated]]-tblCosts56[[#This Row],[Actual]]</f>
        <v>-15</v>
      </c>
      <c r="J17" s="11">
        <f>tblCosts56[[#This Row],[Quantity]]*tblCosts56[[#This Row],[Estimated]]</f>
        <v>95</v>
      </c>
      <c r="K17" s="11">
        <f ca="1">tblCosts56[[#This Row],[Quantity]]*tblCosts56[[#This Row],[Actual]]</f>
        <v>110</v>
      </c>
      <c r="L17" s="12">
        <f ca="1">tblCosts56[[#This Row],[Estimated ]]-tblCosts56[[#This Row],[Actual ]]</f>
        <v>-15</v>
      </c>
    </row>
    <row r="18" spans="2:12" ht="14.25" customHeight="1" thickBot="1" x14ac:dyDescent="0.3">
      <c r="B18" s="37" t="s">
        <v>24</v>
      </c>
      <c r="C18" s="37" t="s">
        <v>163</v>
      </c>
      <c r="D18" s="38" t="s">
        <v>164</v>
      </c>
      <c r="E18" s="39"/>
      <c r="F18" s="16">
        <v>1</v>
      </c>
      <c r="G18" s="9">
        <v>12</v>
      </c>
      <c r="H18" s="11">
        <f t="shared" ca="1" si="0"/>
        <v>21</v>
      </c>
      <c r="I18" s="10">
        <f ca="1">tblCosts56[[#This Row],[Estimated]]-tblCosts56[[#This Row],[Actual]]</f>
        <v>-9</v>
      </c>
      <c r="J18" s="11">
        <f>tblCosts56[[#This Row],[Quantity]]*tblCosts56[[#This Row],[Estimated]]</f>
        <v>12</v>
      </c>
      <c r="K18" s="11">
        <f ca="1">tblCosts56[[#This Row],[Quantity]]*tblCosts56[[#This Row],[Actual]]</f>
        <v>21</v>
      </c>
      <c r="L18" s="12">
        <f ca="1">tblCosts56[[#This Row],[Estimated ]]-tblCosts56[[#This Row],[Actual ]]</f>
        <v>-9</v>
      </c>
    </row>
    <row r="19" spans="2:12" ht="14.25" customHeight="1" thickBot="1" x14ac:dyDescent="0.3">
      <c r="B19" s="37"/>
      <c r="C19" s="37" t="s">
        <v>165</v>
      </c>
      <c r="D19" s="38" t="s">
        <v>166</v>
      </c>
      <c r="E19" s="39"/>
      <c r="F19" s="16">
        <v>1</v>
      </c>
      <c r="G19" s="9">
        <v>15</v>
      </c>
      <c r="H19" s="11">
        <f t="shared" ca="1" si="0"/>
        <v>24</v>
      </c>
      <c r="I19" s="10">
        <f ca="1">tblCosts56[[#This Row],[Estimated]]-tblCosts56[[#This Row],[Actual]]</f>
        <v>-9</v>
      </c>
      <c r="J19" s="11">
        <f>tblCosts56[[#This Row],[Quantity]]*tblCosts56[[#This Row],[Estimated]]</f>
        <v>15</v>
      </c>
      <c r="K19" s="11">
        <f ca="1">tblCosts56[[#This Row],[Quantity]]*tblCosts56[[#This Row],[Actual]]</f>
        <v>24</v>
      </c>
      <c r="L19" s="12">
        <f ca="1">tblCosts56[[#This Row],[Estimated ]]-tblCosts56[[#This Row],[Actual ]]</f>
        <v>-9</v>
      </c>
    </row>
    <row r="20" spans="2:12" ht="14.25" customHeight="1" thickBot="1" x14ac:dyDescent="0.3">
      <c r="B20" s="37"/>
      <c r="C20" s="37" t="s">
        <v>167</v>
      </c>
      <c r="D20" s="38" t="s">
        <v>168</v>
      </c>
      <c r="E20" s="39"/>
      <c r="F20" s="16">
        <v>1</v>
      </c>
      <c r="G20" s="9">
        <v>10</v>
      </c>
      <c r="H20" s="11">
        <f t="shared" ca="1" si="0"/>
        <v>24</v>
      </c>
      <c r="I20" s="10">
        <f ca="1">tblCosts56[[#This Row],[Estimated]]-tblCosts56[[#This Row],[Actual]]</f>
        <v>-14</v>
      </c>
      <c r="J20" s="11">
        <f>tblCosts56[[#This Row],[Quantity]]*tblCosts56[[#This Row],[Estimated]]</f>
        <v>10</v>
      </c>
      <c r="K20" s="11">
        <f ca="1">tblCosts56[[#This Row],[Quantity]]*tblCosts56[[#This Row],[Actual]]</f>
        <v>24</v>
      </c>
      <c r="L20" s="12">
        <f ca="1">tblCosts56[[#This Row],[Estimated ]]-tblCosts56[[#This Row],[Actual ]]</f>
        <v>-14</v>
      </c>
    </row>
    <row r="21" spans="2:12" ht="14.25" customHeight="1" thickBot="1" x14ac:dyDescent="0.3">
      <c r="B21" s="37"/>
      <c r="C21" s="37" t="s">
        <v>201</v>
      </c>
      <c r="D21" s="38" t="s">
        <v>168</v>
      </c>
      <c r="E21" s="39"/>
      <c r="F21" s="16">
        <v>1</v>
      </c>
      <c r="G21" s="9">
        <v>10</v>
      </c>
      <c r="H21" s="11">
        <f t="shared" ref="H21" ca="1" si="3">RANDBETWEEN(G21+2,G21+20)</f>
        <v>15</v>
      </c>
      <c r="I21" s="10">
        <f ca="1">tblCosts56[[#This Row],[Estimated]]-tblCosts56[[#This Row],[Actual]]</f>
        <v>-5</v>
      </c>
      <c r="J21" s="11">
        <f>tblCosts56[[#This Row],[Quantity]]*tblCosts56[[#This Row],[Estimated]]</f>
        <v>10</v>
      </c>
      <c r="K21" s="11">
        <f ca="1">tblCosts56[[#This Row],[Quantity]]*tblCosts56[[#This Row],[Actual]]</f>
        <v>15</v>
      </c>
      <c r="L21" s="12">
        <f ca="1">tblCosts56[[#This Row],[Estimated ]]-tblCosts56[[#This Row],[Actual ]]</f>
        <v>-5</v>
      </c>
    </row>
    <row r="22" spans="2:12" ht="14.25" customHeight="1" thickBot="1" x14ac:dyDescent="0.3">
      <c r="B22" s="37" t="s">
        <v>169</v>
      </c>
      <c r="C22" s="37" t="s">
        <v>170</v>
      </c>
      <c r="D22" s="38" t="s">
        <v>171</v>
      </c>
      <c r="E22" s="39"/>
      <c r="F22" s="16">
        <v>1</v>
      </c>
      <c r="G22" s="9">
        <v>25</v>
      </c>
      <c r="H22" s="11">
        <f t="shared" ca="1" si="0"/>
        <v>37</v>
      </c>
      <c r="I22" s="10">
        <f ca="1">tblCosts56[[#This Row],[Estimated]]-tblCosts56[[#This Row],[Actual]]</f>
        <v>-12</v>
      </c>
      <c r="J22" s="11">
        <f>tblCosts56[[#This Row],[Quantity]]*tblCosts56[[#This Row],[Estimated]]</f>
        <v>25</v>
      </c>
      <c r="K22" s="11">
        <f ca="1">tblCosts56[[#This Row],[Quantity]]*tblCosts56[[#This Row],[Actual]]</f>
        <v>37</v>
      </c>
      <c r="L22" s="12">
        <f ca="1">tblCosts56[[#This Row],[Estimated ]]-tblCosts56[[#This Row],[Actual ]]</f>
        <v>-12</v>
      </c>
    </row>
    <row r="23" spans="2:12" ht="14.25" customHeight="1" thickBot="1" x14ac:dyDescent="0.3">
      <c r="B23" s="37"/>
      <c r="C23" s="37" t="s">
        <v>172</v>
      </c>
      <c r="D23" s="38" t="s">
        <v>173</v>
      </c>
      <c r="E23" s="39"/>
      <c r="F23" s="16">
        <v>1</v>
      </c>
      <c r="G23" s="9">
        <v>60</v>
      </c>
      <c r="H23" s="11">
        <f t="shared" ca="1" si="0"/>
        <v>75</v>
      </c>
      <c r="I23" s="10">
        <f ca="1">tblCosts56[[#This Row],[Estimated]]-tblCosts56[[#This Row],[Actual]]</f>
        <v>-15</v>
      </c>
      <c r="J23" s="11">
        <f>tblCosts56[[#This Row],[Quantity]]*tblCosts56[[#This Row],[Estimated]]</f>
        <v>60</v>
      </c>
      <c r="K23" s="11">
        <f ca="1">tblCosts56[[#This Row],[Quantity]]*tblCosts56[[#This Row],[Actual]]</f>
        <v>75</v>
      </c>
      <c r="L23" s="12">
        <f ca="1">tblCosts56[[#This Row],[Estimated ]]-tblCosts56[[#This Row],[Actual ]]</f>
        <v>-15</v>
      </c>
    </row>
    <row r="24" spans="2:12" ht="14.25" customHeight="1" thickBot="1" x14ac:dyDescent="0.3">
      <c r="B24" s="37"/>
      <c r="C24" s="37" t="s">
        <v>174</v>
      </c>
      <c r="D24" s="38" t="s">
        <v>175</v>
      </c>
      <c r="E24" s="39"/>
      <c r="F24" s="16">
        <v>1</v>
      </c>
      <c r="G24" s="9">
        <v>120</v>
      </c>
      <c r="H24" s="11">
        <f t="shared" ca="1" si="0"/>
        <v>132</v>
      </c>
      <c r="I24" s="10">
        <f ca="1">tblCosts56[[#This Row],[Estimated]]-tblCosts56[[#This Row],[Actual]]</f>
        <v>-12</v>
      </c>
      <c r="J24" s="11">
        <f>tblCosts56[[#This Row],[Quantity]]*tblCosts56[[#This Row],[Estimated]]</f>
        <v>120</v>
      </c>
      <c r="K24" s="11">
        <f ca="1">tblCosts56[[#This Row],[Quantity]]*tblCosts56[[#This Row],[Actual]]</f>
        <v>132</v>
      </c>
      <c r="L24" s="12">
        <f ca="1">tblCosts56[[#This Row],[Estimated ]]-tblCosts56[[#This Row],[Actual ]]</f>
        <v>-12</v>
      </c>
    </row>
    <row r="25" spans="2:12" ht="14.25" customHeight="1" thickBot="1" x14ac:dyDescent="0.3">
      <c r="B25" s="37" t="s">
        <v>176</v>
      </c>
      <c r="C25" s="37" t="s">
        <v>177</v>
      </c>
      <c r="D25" s="38" t="s">
        <v>178</v>
      </c>
      <c r="E25" s="39"/>
      <c r="F25" s="16">
        <v>1</v>
      </c>
      <c r="G25" s="9">
        <v>60</v>
      </c>
      <c r="H25" s="11">
        <f t="shared" ca="1" si="0"/>
        <v>72</v>
      </c>
      <c r="I25" s="10">
        <f ca="1">tblCosts56[[#This Row],[Estimated]]-tblCosts56[[#This Row],[Actual]]</f>
        <v>-12</v>
      </c>
      <c r="J25" s="11">
        <f>tblCosts56[[#This Row],[Quantity]]*tblCosts56[[#This Row],[Estimated]]</f>
        <v>60</v>
      </c>
      <c r="K25" s="11">
        <f ca="1">tblCosts56[[#This Row],[Quantity]]*tblCosts56[[#This Row],[Actual]]</f>
        <v>72</v>
      </c>
      <c r="L25" s="12">
        <f ca="1">tblCosts56[[#This Row],[Estimated ]]-tblCosts56[[#This Row],[Actual ]]</f>
        <v>-12</v>
      </c>
    </row>
    <row r="26" spans="2:12" ht="14.25" customHeight="1" thickBot="1" x14ac:dyDescent="0.3">
      <c r="B26" s="37"/>
      <c r="C26" s="37" t="s">
        <v>179</v>
      </c>
      <c r="D26" s="38" t="s">
        <v>180</v>
      </c>
      <c r="E26" s="39"/>
      <c r="F26" s="16">
        <v>1</v>
      </c>
      <c r="G26" s="9">
        <v>0.95</v>
      </c>
      <c r="H26" s="11">
        <f t="shared" ca="1" si="0"/>
        <v>15</v>
      </c>
      <c r="I26" s="10">
        <f ca="1">tblCosts56[[#This Row],[Estimated]]-tblCosts56[[#This Row],[Actual]]</f>
        <v>-14.05</v>
      </c>
      <c r="J26" s="11">
        <f>tblCosts56[[#This Row],[Quantity]]*tblCosts56[[#This Row],[Estimated]]</f>
        <v>0.95</v>
      </c>
      <c r="K26" s="11">
        <f ca="1">tblCosts56[[#This Row],[Quantity]]*tblCosts56[[#This Row],[Actual]]</f>
        <v>15</v>
      </c>
      <c r="L26" s="12">
        <f ca="1">tblCosts56[[#This Row],[Estimated ]]-tblCosts56[[#This Row],[Actual ]]</f>
        <v>-14.05</v>
      </c>
    </row>
    <row r="27" spans="2:12" ht="14.25" customHeight="1" thickBot="1" x14ac:dyDescent="0.3">
      <c r="B27" s="37"/>
      <c r="C27" s="37" t="s">
        <v>181</v>
      </c>
      <c r="D27" s="38" t="s">
        <v>182</v>
      </c>
      <c r="E27" s="39"/>
      <c r="F27" s="16">
        <v>1</v>
      </c>
      <c r="G27" s="9">
        <v>120</v>
      </c>
      <c r="H27" s="11">
        <f t="shared" ca="1" si="0"/>
        <v>136</v>
      </c>
      <c r="I27" s="10">
        <f ca="1">tblCosts56[[#This Row],[Estimated]]-tblCosts56[[#This Row],[Actual]]</f>
        <v>-16</v>
      </c>
      <c r="J27" s="11">
        <f>tblCosts56[[#This Row],[Quantity]]*tblCosts56[[#This Row],[Estimated]]</f>
        <v>120</v>
      </c>
      <c r="K27" s="11">
        <f ca="1">tblCosts56[[#This Row],[Quantity]]*tblCosts56[[#This Row],[Actual]]</f>
        <v>136</v>
      </c>
      <c r="L27" s="12">
        <f ca="1">tblCosts56[[#This Row],[Estimated ]]-tblCosts56[[#This Row],[Actual ]]</f>
        <v>-16</v>
      </c>
    </row>
    <row r="28" spans="2:12" ht="14.25" customHeight="1" thickBot="1" x14ac:dyDescent="0.3">
      <c r="B28" s="37"/>
      <c r="C28" s="37" t="s">
        <v>183</v>
      </c>
      <c r="D28" s="38" t="s">
        <v>184</v>
      </c>
      <c r="E28" s="39"/>
      <c r="F28" s="16">
        <v>1</v>
      </c>
      <c r="G28" s="9">
        <v>20</v>
      </c>
      <c r="H28" s="11">
        <f t="shared" ca="1" si="0"/>
        <v>40</v>
      </c>
      <c r="I28" s="10">
        <f ca="1">tblCosts56[[#This Row],[Estimated]]-tblCosts56[[#This Row],[Actual]]</f>
        <v>-20</v>
      </c>
      <c r="J28" s="11">
        <f>tblCosts56[[#This Row],[Quantity]]*tblCosts56[[#This Row],[Estimated]]</f>
        <v>20</v>
      </c>
      <c r="K28" s="11">
        <f ca="1">tblCosts56[[#This Row],[Quantity]]*tblCosts56[[#This Row],[Actual]]</f>
        <v>40</v>
      </c>
      <c r="L28" s="12">
        <f ca="1">tblCosts56[[#This Row],[Estimated ]]-tblCosts56[[#This Row],[Actual ]]</f>
        <v>-20</v>
      </c>
    </row>
    <row r="29" spans="2:12" ht="15.75" customHeight="1" thickBot="1" x14ac:dyDescent="0.3">
      <c r="B29" s="37"/>
      <c r="C29" s="37" t="s">
        <v>185</v>
      </c>
      <c r="D29" s="38" t="s">
        <v>186</v>
      </c>
      <c r="E29" s="39"/>
      <c r="F29" s="27">
        <v>1</v>
      </c>
      <c r="G29" s="9">
        <v>20</v>
      </c>
      <c r="H29" s="29">
        <f t="shared" ref="H29:H34" ca="1" si="4">RANDBETWEEN(G29+2,G29+20)</f>
        <v>34</v>
      </c>
      <c r="I29" s="31">
        <f ca="1">tblCosts56[[#This Row],[Estimated]]-tblCosts56[[#This Row],[Actual]]</f>
        <v>-14</v>
      </c>
      <c r="J29" s="29">
        <f>tblCosts56[[#This Row],[Quantity]]*tblCosts56[[#This Row],[Estimated]]</f>
        <v>20</v>
      </c>
      <c r="K29" s="32">
        <f ca="1">tblCosts56[[#This Row],[Quantity]]*tblCosts56[[#This Row],[Actual]]</f>
        <v>34</v>
      </c>
      <c r="L29" s="29">
        <f ca="1">tblCosts56[[#This Row],[Estimated ]]-tblCosts56[[#This Row],[Actual ]]</f>
        <v>-14</v>
      </c>
    </row>
    <row r="30" spans="2:12" ht="15.75" customHeight="1" thickBot="1" x14ac:dyDescent="0.3">
      <c r="B30" s="37"/>
      <c r="C30" s="37" t="s">
        <v>187</v>
      </c>
      <c r="D30" s="38" t="s">
        <v>188</v>
      </c>
      <c r="E30" s="39"/>
      <c r="F30" s="27">
        <v>1</v>
      </c>
      <c r="G30" s="9">
        <v>20</v>
      </c>
      <c r="H30" s="30">
        <f t="shared" ca="1" si="4"/>
        <v>40</v>
      </c>
      <c r="I30" s="31">
        <f ca="1">tblCosts56[[#This Row],[Estimated]]-tblCosts56[[#This Row],[Actual]]</f>
        <v>-20</v>
      </c>
      <c r="J30" s="29">
        <f>tblCosts56[[#This Row],[Quantity]]*tblCosts56[[#This Row],[Estimated]]</f>
        <v>20</v>
      </c>
      <c r="K30" s="32">
        <f ca="1">tblCosts56[[#This Row],[Quantity]]*tblCosts56[[#This Row],[Actual]]</f>
        <v>40</v>
      </c>
      <c r="L30" s="29">
        <f ca="1">tblCosts56[[#This Row],[Estimated ]]-tblCosts56[[#This Row],[Actual ]]</f>
        <v>-20</v>
      </c>
    </row>
    <row r="31" spans="2:12" ht="13.5" customHeight="1" thickBot="1" x14ac:dyDescent="0.3">
      <c r="B31" s="37" t="s">
        <v>103</v>
      </c>
      <c r="C31" s="37" t="s">
        <v>189</v>
      </c>
      <c r="D31" s="38" t="s">
        <v>190</v>
      </c>
      <c r="E31" s="39"/>
      <c r="F31" s="27">
        <v>1</v>
      </c>
      <c r="G31" s="9">
        <v>20</v>
      </c>
      <c r="H31" s="30">
        <f t="shared" ca="1" si="4"/>
        <v>34</v>
      </c>
      <c r="I31" s="31">
        <f ca="1">tblCosts56[[#This Row],[Estimated]]-tblCosts56[[#This Row],[Actual]]</f>
        <v>-14</v>
      </c>
      <c r="J31" s="29">
        <f>tblCosts56[[#This Row],[Quantity]]*tblCosts56[[#This Row],[Estimated]]</f>
        <v>20</v>
      </c>
      <c r="K31" s="32">
        <f ca="1">tblCosts56[[#This Row],[Quantity]]*tblCosts56[[#This Row],[Actual]]</f>
        <v>34</v>
      </c>
      <c r="L31" s="29">
        <f ca="1">tblCosts56[[#This Row],[Estimated ]]-tblCosts56[[#This Row],[Actual ]]</f>
        <v>-14</v>
      </c>
    </row>
    <row r="32" spans="2:12" ht="13.5" customHeight="1" thickBot="1" x14ac:dyDescent="0.3">
      <c r="B32" s="37"/>
      <c r="C32" s="37" t="s">
        <v>191</v>
      </c>
      <c r="D32" s="38" t="s">
        <v>192</v>
      </c>
      <c r="E32" s="39"/>
      <c r="F32" s="27">
        <v>1</v>
      </c>
      <c r="G32" s="9">
        <v>20</v>
      </c>
      <c r="H32" s="30">
        <f t="shared" ca="1" si="4"/>
        <v>29</v>
      </c>
      <c r="I32" s="31">
        <f ca="1">tblCosts56[[#This Row],[Estimated]]-tblCosts56[[#This Row],[Actual]]</f>
        <v>-9</v>
      </c>
      <c r="J32" s="29">
        <f>tblCosts56[[#This Row],[Quantity]]*tblCosts56[[#This Row],[Estimated]]</f>
        <v>20</v>
      </c>
      <c r="K32" s="32">
        <f ca="1">tblCosts56[[#This Row],[Quantity]]*tblCosts56[[#This Row],[Actual]]</f>
        <v>29</v>
      </c>
      <c r="L32" s="29">
        <f ca="1">tblCosts56[[#This Row],[Estimated ]]-tblCosts56[[#This Row],[Actual ]]</f>
        <v>-9</v>
      </c>
    </row>
    <row r="33" spans="2:12" ht="13.5" customHeight="1" thickBot="1" x14ac:dyDescent="0.3">
      <c r="B33" s="37"/>
      <c r="C33" s="37" t="s">
        <v>199</v>
      </c>
      <c r="D33" s="38"/>
      <c r="E33" s="39"/>
      <c r="F33" s="27"/>
      <c r="G33" s="9"/>
      <c r="H33" s="30">
        <f ca="1">RANDBETWEEN(G33+2,G33+20)</f>
        <v>13</v>
      </c>
      <c r="I33" s="31">
        <f ca="1">tblCosts56[[#This Row],[Estimated]]-tblCosts56[[#This Row],[Actual]]</f>
        <v>-13</v>
      </c>
      <c r="J33" s="29">
        <f>tblCosts56[[#This Row],[Quantity]]*tblCosts56[[#This Row],[Estimated]]</f>
        <v>0</v>
      </c>
      <c r="K33" s="32">
        <f ca="1">tblCosts56[[#This Row],[Quantity]]*tblCosts56[[#This Row],[Actual]]</f>
        <v>0</v>
      </c>
      <c r="L33" s="29">
        <f ca="1">tblCosts56[[#This Row],[Estimated ]]-tblCosts56[[#This Row],[Actual ]]</f>
        <v>0</v>
      </c>
    </row>
    <row r="34" spans="2:12" ht="15.75" thickBot="1" x14ac:dyDescent="0.3">
      <c r="B34" s="37"/>
      <c r="C34" s="37" t="s">
        <v>193</v>
      </c>
      <c r="D34" s="38" t="s">
        <v>194</v>
      </c>
      <c r="E34" s="39"/>
      <c r="F34" s="27">
        <v>1</v>
      </c>
      <c r="G34" s="9">
        <v>20</v>
      </c>
      <c r="H34" s="30">
        <f t="shared" ca="1" si="4"/>
        <v>27</v>
      </c>
      <c r="I34" s="31">
        <f ca="1">tblCosts56[[#This Row],[Estimated]]-tblCosts56[[#This Row],[Actual]]</f>
        <v>-7</v>
      </c>
      <c r="J34" s="29">
        <f>tblCosts56[[#This Row],[Quantity]]*tblCosts56[[#This Row],[Estimated]]</f>
        <v>20</v>
      </c>
      <c r="K34" s="32">
        <f ca="1">tblCosts56[[#This Row],[Quantity]]*tblCosts56[[#This Row],[Actual]]</f>
        <v>27</v>
      </c>
      <c r="L34" s="29">
        <f ca="1">tblCosts56[[#This Row],[Estimated ]]-tblCosts56[[#This Row],[Actual ]]</f>
        <v>-7</v>
      </c>
    </row>
    <row r="35" spans="2:12" x14ac:dyDescent="0.25">
      <c r="B35" s="25"/>
      <c r="C35" s="25" t="s">
        <v>37</v>
      </c>
      <c r="D35" s="33"/>
      <c r="E35" s="33"/>
      <c r="F35" s="33"/>
      <c r="G35" s="34">
        <f>SUBTOTAL(109,tblCosts56[Estimated])</f>
        <v>2170.4499999999998</v>
      </c>
      <c r="H35" s="30">
        <f ca="1">SUBTOTAL(109,tblCosts56[Actual])</f>
        <v>2516</v>
      </c>
      <c r="I35" s="35">
        <f ca="1">SUBTOTAL(109,tblCosts56[Difference])</f>
        <v>-345.55</v>
      </c>
      <c r="J35" s="29">
        <f>SUBTOTAL(109,tblCosts56[[Estimated ]])</f>
        <v>2170.4499999999998</v>
      </c>
      <c r="K35" s="29">
        <f ca="1">SUBTOTAL(109,tblCosts56[[Actual ]])</f>
        <v>2503</v>
      </c>
      <c r="L35" s="29">
        <f ca="1">SUBTOTAL(109,tblCosts56[[Difference ]])</f>
        <v>-332.55</v>
      </c>
    </row>
    <row r="36" spans="2:12" x14ac:dyDescent="0.25">
      <c r="B36" s="5"/>
      <c r="C36" s="4" t="s">
        <v>42</v>
      </c>
      <c r="D36" s="4"/>
      <c r="E36" s="4"/>
      <c r="F36" s="4"/>
      <c r="G36" s="24">
        <f>tblCosts56[[#Totals],[Estimated]]*0.3</f>
        <v>651.13499999999988</v>
      </c>
      <c r="H36" s="24">
        <f ca="1">tblCosts56[[#Totals],[Actual]]*0.3</f>
        <v>754.8</v>
      </c>
      <c r="I36" s="24">
        <f ca="1">tblCosts56[[#Totals],[Difference]]*0.3</f>
        <v>-103.66500000000001</v>
      </c>
      <c r="J36" s="24">
        <f>tblCosts56[[#Totals],[Estimated ]]*0.3</f>
        <v>651.13499999999988</v>
      </c>
      <c r="K36" s="24">
        <f ca="1">tblCosts56[[#Totals],[Actual ]]*0.3</f>
        <v>750.9</v>
      </c>
      <c r="L36" s="24">
        <f ca="1">tblCosts56[[#Totals],[Difference ]]*0.3</f>
        <v>-99.765000000000001</v>
      </c>
    </row>
    <row r="37" spans="2:12" x14ac:dyDescent="0.25">
      <c r="B37" s="5"/>
      <c r="C37" s="4" t="s">
        <v>38</v>
      </c>
      <c r="D37" s="4"/>
      <c r="E37" s="4"/>
      <c r="F37" s="4"/>
      <c r="G37" s="24">
        <f>SUM(G30:G36)</f>
        <v>2901.5849999999996</v>
      </c>
      <c r="H37" s="24">
        <f ca="1">SUM(H30:H36)</f>
        <v>3413.8</v>
      </c>
      <c r="I37" s="24">
        <f ca="1">SUM(I30:I36)</f>
        <v>-512.21500000000003</v>
      </c>
      <c r="J37" s="20">
        <f>SUM(tblCosts56[[#Totals],[Estimated ]],Overage)</f>
        <v>2821.5849999999996</v>
      </c>
      <c r="K37" s="20">
        <f ca="1">SUM(tblCosts56[[#Totals],[Actual ]],Overage)</f>
        <v>3154.1349999999998</v>
      </c>
      <c r="L37" s="20">
        <f ca="1">SUM(tblCosts56[[#Totals],[Difference ]],Overage)</f>
        <v>318.58499999999987</v>
      </c>
    </row>
  </sheetData>
  <mergeCells count="2">
    <mergeCell ref="G4:I4"/>
    <mergeCell ref="J4:L4"/>
  </mergeCells>
  <conditionalFormatting sqref="J6:K34">
    <cfRule type="expression" dxfId="7" priority="2">
      <formula>MOD(ROW(),2)=0</formula>
    </cfRule>
  </conditionalFormatting>
  <conditionalFormatting sqref="L6:L34">
    <cfRule type="expression" dxfId="6" priority="1">
      <formula>MOD(ROW(),2)=0</formula>
    </cfRule>
  </conditionalFormatting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8AE08-6812-43AA-8111-19C7BA0406FF}">
  <sheetPr>
    <tabColor rgb="FF808000"/>
    <pageSetUpPr autoPageBreaks="0" fitToPage="1"/>
  </sheetPr>
  <dimension ref="B2:K29"/>
  <sheetViews>
    <sheetView showGridLines="0" workbookViewId="0">
      <selection activeCell="C34" sqref="C34"/>
    </sheetView>
  </sheetViews>
  <sheetFormatPr defaultRowHeight="15" x14ac:dyDescent="0.25"/>
  <cols>
    <col min="1" max="1" width="1.5703125" style="1" customWidth="1"/>
    <col min="2" max="2" width="17.7109375" style="1" customWidth="1"/>
    <col min="3" max="4" width="42.28515625" style="1" customWidth="1"/>
    <col min="5" max="5" width="16.140625" style="1" customWidth="1"/>
    <col min="6" max="11" width="15.7109375" style="1" customWidth="1"/>
    <col min="12" max="12" width="2.7109375" style="1" customWidth="1"/>
    <col min="13" max="16384" width="9.140625" style="1"/>
  </cols>
  <sheetData>
    <row r="2" spans="2:11" ht="30.75" thickBot="1" x14ac:dyDescent="0.45">
      <c r="B2" s="2" t="s">
        <v>139</v>
      </c>
      <c r="C2" s="2"/>
      <c r="D2" s="2"/>
      <c r="E2" s="2"/>
      <c r="F2" s="2"/>
      <c r="G2" s="2"/>
      <c r="H2" s="2"/>
      <c r="I2" s="2"/>
    </row>
    <row r="3" spans="2:11" ht="6.75" customHeight="1" thickTop="1" x14ac:dyDescent="0.25"/>
    <row r="4" spans="2:11" x14ac:dyDescent="0.25">
      <c r="F4" s="42" t="s">
        <v>2</v>
      </c>
      <c r="G4" s="43"/>
      <c r="H4" s="44"/>
      <c r="I4" s="45" t="s">
        <v>3</v>
      </c>
      <c r="J4" s="46"/>
      <c r="K4" s="46"/>
    </row>
    <row r="5" spans="2:11" ht="15.75" customHeight="1" x14ac:dyDescent="0.25">
      <c r="B5" s="1" t="s">
        <v>39</v>
      </c>
      <c r="C5" s="1" t="s">
        <v>0</v>
      </c>
      <c r="D5" s="25" t="s">
        <v>45</v>
      </c>
      <c r="E5" s="15" t="s">
        <v>1</v>
      </c>
      <c r="F5" s="6" t="s">
        <v>5</v>
      </c>
      <c r="G5" s="18" t="s">
        <v>6</v>
      </c>
      <c r="H5" s="7" t="s">
        <v>43</v>
      </c>
      <c r="I5" s="8" t="s">
        <v>40</v>
      </c>
      <c r="J5" s="8" t="s">
        <v>41</v>
      </c>
      <c r="K5" s="23" t="s">
        <v>44</v>
      </c>
    </row>
    <row r="6" spans="2:11" ht="14.25" customHeight="1" x14ac:dyDescent="0.25">
      <c r="B6" s="1" t="s">
        <v>4</v>
      </c>
      <c r="C6" s="1" t="s">
        <v>7</v>
      </c>
      <c r="D6" s="16"/>
      <c r="E6" s="16">
        <v>1</v>
      </c>
      <c r="F6" s="9">
        <v>250</v>
      </c>
      <c r="G6" s="11">
        <f t="shared" ref="G6:G25" ca="1" si="0">RANDBETWEEN(F6+2,F6+20)</f>
        <v>260</v>
      </c>
      <c r="H6" s="10">
        <f ca="1">tblCosts5[[#This Row],[Estimated]]-tblCosts5[[#This Row],[Actual]]</f>
        <v>-10</v>
      </c>
      <c r="I6" s="11">
        <f>tblCosts5[[#This Row],[Quantity]]*tblCosts5[[#This Row],[Estimated]]</f>
        <v>250</v>
      </c>
      <c r="J6" s="11">
        <f ca="1">tblCosts5[[#This Row],[Quantity]]*tblCosts5[[#This Row],[Actual]]</f>
        <v>260</v>
      </c>
      <c r="K6" s="12">
        <f ca="1">tblCosts5[[#This Row],[Estimated ]]-tblCosts5[[#This Row],[Actual ]]</f>
        <v>-10</v>
      </c>
    </row>
    <row r="7" spans="2:11" ht="14.25" customHeight="1" x14ac:dyDescent="0.25">
      <c r="B7" s="1" t="s">
        <v>4</v>
      </c>
      <c r="C7" s="1" t="s">
        <v>8</v>
      </c>
      <c r="D7" s="16"/>
      <c r="E7" s="16">
        <v>1</v>
      </c>
      <c r="F7" s="9">
        <v>200</v>
      </c>
      <c r="G7" s="11">
        <f t="shared" ca="1" si="0"/>
        <v>217</v>
      </c>
      <c r="H7" s="10">
        <f ca="1">tblCosts5[[#This Row],[Estimated]]-tblCosts5[[#This Row],[Actual]]</f>
        <v>-17</v>
      </c>
      <c r="I7" s="11">
        <f>tblCosts5[[#This Row],[Quantity]]*tblCosts5[[#This Row],[Estimated]]</f>
        <v>200</v>
      </c>
      <c r="J7" s="11">
        <f ca="1">tblCosts5[[#This Row],[Quantity]]*tblCosts5[[#This Row],[Actual]]</f>
        <v>217</v>
      </c>
      <c r="K7" s="12">
        <f ca="1">tblCosts5[[#This Row],[Estimated ]]-tblCosts5[[#This Row],[Actual ]]</f>
        <v>-17</v>
      </c>
    </row>
    <row r="8" spans="2:11" ht="14.25" customHeight="1" x14ac:dyDescent="0.25">
      <c r="B8" s="1" t="s">
        <v>4</v>
      </c>
      <c r="C8" s="1" t="s">
        <v>9</v>
      </c>
      <c r="D8" s="16"/>
      <c r="E8" s="16">
        <v>1</v>
      </c>
      <c r="F8" s="9">
        <v>50</v>
      </c>
      <c r="G8" s="11">
        <f t="shared" ca="1" si="0"/>
        <v>60</v>
      </c>
      <c r="H8" s="10">
        <f ca="1">tblCosts5[[#This Row],[Estimated]]-tblCosts5[[#This Row],[Actual]]</f>
        <v>-10</v>
      </c>
      <c r="I8" s="11">
        <f>tblCosts5[[#This Row],[Quantity]]*tblCosts5[[#This Row],[Estimated]]</f>
        <v>50</v>
      </c>
      <c r="J8" s="11">
        <f ca="1">tblCosts5[[#This Row],[Quantity]]*tblCosts5[[#This Row],[Actual]]</f>
        <v>60</v>
      </c>
      <c r="K8" s="12">
        <f ca="1">tblCosts5[[#This Row],[Estimated ]]-tblCosts5[[#This Row],[Actual ]]</f>
        <v>-10</v>
      </c>
    </row>
    <row r="9" spans="2:11" ht="14.25" customHeight="1" x14ac:dyDescent="0.25">
      <c r="B9" s="1" t="s">
        <v>4</v>
      </c>
      <c r="C9" s="1" t="s">
        <v>10</v>
      </c>
      <c r="D9" s="16"/>
      <c r="E9" s="16">
        <v>1</v>
      </c>
      <c r="F9" s="9">
        <v>200</v>
      </c>
      <c r="G9" s="11">
        <f t="shared" ca="1" si="0"/>
        <v>205</v>
      </c>
      <c r="H9" s="10">
        <f ca="1">tblCosts5[[#This Row],[Estimated]]-tblCosts5[[#This Row],[Actual]]</f>
        <v>-5</v>
      </c>
      <c r="I9" s="11">
        <f>tblCosts5[[#This Row],[Quantity]]*tblCosts5[[#This Row],[Estimated]]</f>
        <v>200</v>
      </c>
      <c r="J9" s="11">
        <f ca="1">tblCosts5[[#This Row],[Quantity]]*tblCosts5[[#This Row],[Actual]]</f>
        <v>205</v>
      </c>
      <c r="K9" s="12">
        <f ca="1">tblCosts5[[#This Row],[Estimated ]]-tblCosts5[[#This Row],[Actual ]]</f>
        <v>-5</v>
      </c>
    </row>
    <row r="10" spans="2:11" ht="14.25" customHeight="1" x14ac:dyDescent="0.25">
      <c r="B10" s="1" t="s">
        <v>11</v>
      </c>
      <c r="C10" s="1" t="s">
        <v>12</v>
      </c>
      <c r="D10" s="16"/>
      <c r="E10" s="16">
        <v>1</v>
      </c>
      <c r="F10" s="9">
        <v>200</v>
      </c>
      <c r="G10" s="11">
        <f t="shared" ca="1" si="0"/>
        <v>215</v>
      </c>
      <c r="H10" s="10">
        <f ca="1">tblCosts5[[#This Row],[Estimated]]-tblCosts5[[#This Row],[Actual]]</f>
        <v>-15</v>
      </c>
      <c r="I10" s="11">
        <f>tblCosts5[[#This Row],[Quantity]]*tblCosts5[[#This Row],[Estimated]]</f>
        <v>200</v>
      </c>
      <c r="J10" s="11">
        <f ca="1">tblCosts5[[#This Row],[Quantity]]*tblCosts5[[#This Row],[Actual]]</f>
        <v>215</v>
      </c>
      <c r="K10" s="12">
        <f ca="1">tblCosts5[[#This Row],[Estimated ]]-tblCosts5[[#This Row],[Actual ]]</f>
        <v>-15</v>
      </c>
    </row>
    <row r="11" spans="2:11" ht="14.25" customHeight="1" x14ac:dyDescent="0.25">
      <c r="B11" s="1" t="s">
        <v>11</v>
      </c>
      <c r="C11" s="1" t="s">
        <v>13</v>
      </c>
      <c r="D11" s="16"/>
      <c r="E11" s="16">
        <v>1</v>
      </c>
      <c r="F11" s="9">
        <v>100</v>
      </c>
      <c r="G11" s="11">
        <f t="shared" ca="1" si="0"/>
        <v>105</v>
      </c>
      <c r="H11" s="10">
        <f ca="1">tblCosts5[[#This Row],[Estimated]]-tblCosts5[[#This Row],[Actual]]</f>
        <v>-5</v>
      </c>
      <c r="I11" s="11">
        <f>tblCosts5[[#This Row],[Quantity]]*tblCosts5[[#This Row],[Estimated]]</f>
        <v>100</v>
      </c>
      <c r="J11" s="11">
        <f ca="1">tblCosts5[[#This Row],[Quantity]]*tblCosts5[[#This Row],[Actual]]</f>
        <v>105</v>
      </c>
      <c r="K11" s="12">
        <f ca="1">tblCosts5[[#This Row],[Estimated ]]-tblCosts5[[#This Row],[Actual ]]</f>
        <v>-5</v>
      </c>
    </row>
    <row r="12" spans="2:11" ht="14.25" customHeight="1" x14ac:dyDescent="0.25">
      <c r="B12" s="1" t="s">
        <v>14</v>
      </c>
      <c r="C12" s="1" t="s">
        <v>15</v>
      </c>
      <c r="D12" s="16"/>
      <c r="E12" s="16">
        <v>1</v>
      </c>
      <c r="F12" s="9">
        <v>22.5</v>
      </c>
      <c r="G12" s="11">
        <f t="shared" ca="1" si="0"/>
        <v>34</v>
      </c>
      <c r="H12" s="10">
        <f ca="1">tblCosts5[[#This Row],[Estimated]]-tblCosts5[[#This Row],[Actual]]</f>
        <v>-11.5</v>
      </c>
      <c r="I12" s="11">
        <f>tblCosts5[[#This Row],[Quantity]]*tblCosts5[[#This Row],[Estimated]]</f>
        <v>22.5</v>
      </c>
      <c r="J12" s="11">
        <f ca="1">tblCosts5[[#This Row],[Quantity]]*tblCosts5[[#This Row],[Actual]]</f>
        <v>34</v>
      </c>
      <c r="K12" s="12">
        <f ca="1">tblCosts5[[#This Row],[Estimated ]]-tblCosts5[[#This Row],[Actual ]]</f>
        <v>-11.5</v>
      </c>
    </row>
    <row r="13" spans="2:11" ht="14.25" customHeight="1" x14ac:dyDescent="0.25">
      <c r="B13" s="1" t="s">
        <v>16</v>
      </c>
      <c r="C13" s="1" t="s">
        <v>17</v>
      </c>
      <c r="D13" s="16"/>
      <c r="E13" s="16">
        <v>1</v>
      </c>
      <c r="F13" s="9">
        <v>90</v>
      </c>
      <c r="G13" s="11">
        <f t="shared" ca="1" si="0"/>
        <v>109</v>
      </c>
      <c r="H13" s="10">
        <f ca="1">tblCosts5[[#This Row],[Estimated]]-tblCosts5[[#This Row],[Actual]]</f>
        <v>-19</v>
      </c>
      <c r="I13" s="11">
        <f>tblCosts5[[#This Row],[Quantity]]*tblCosts5[[#This Row],[Estimated]]</f>
        <v>90</v>
      </c>
      <c r="J13" s="11">
        <f ca="1">tblCosts5[[#This Row],[Quantity]]*tblCosts5[[#This Row],[Actual]]</f>
        <v>109</v>
      </c>
      <c r="K13" s="12">
        <f ca="1">tblCosts5[[#This Row],[Estimated ]]-tblCosts5[[#This Row],[Actual ]]</f>
        <v>-19</v>
      </c>
    </row>
    <row r="14" spans="2:11" ht="14.25" customHeight="1" x14ac:dyDescent="0.25">
      <c r="B14" s="1" t="s">
        <v>16</v>
      </c>
      <c r="C14" s="1" t="s">
        <v>18</v>
      </c>
      <c r="D14" s="16"/>
      <c r="E14" s="16">
        <v>1</v>
      </c>
      <c r="F14" s="9">
        <v>115</v>
      </c>
      <c r="G14" s="11">
        <f t="shared" ca="1" si="0"/>
        <v>134</v>
      </c>
      <c r="H14" s="10">
        <f ca="1">tblCosts5[[#This Row],[Estimated]]-tblCosts5[[#This Row],[Actual]]</f>
        <v>-19</v>
      </c>
      <c r="I14" s="11">
        <f>tblCosts5[[#This Row],[Quantity]]*tblCosts5[[#This Row],[Estimated]]</f>
        <v>115</v>
      </c>
      <c r="J14" s="11">
        <f ca="1">tblCosts5[[#This Row],[Quantity]]*tblCosts5[[#This Row],[Actual]]</f>
        <v>134</v>
      </c>
      <c r="K14" s="12">
        <f ca="1">tblCosts5[[#This Row],[Estimated ]]-tblCosts5[[#This Row],[Actual ]]</f>
        <v>-19</v>
      </c>
    </row>
    <row r="15" spans="2:11" ht="14.25" customHeight="1" x14ac:dyDescent="0.25">
      <c r="B15" s="1" t="s">
        <v>16</v>
      </c>
      <c r="C15" s="1" t="s">
        <v>19</v>
      </c>
      <c r="D15" s="16"/>
      <c r="E15" s="16">
        <v>1</v>
      </c>
      <c r="F15" s="9">
        <v>95</v>
      </c>
      <c r="G15" s="11">
        <f t="shared" ca="1" si="0"/>
        <v>100</v>
      </c>
      <c r="H15" s="10">
        <f ca="1">tblCosts5[[#This Row],[Estimated]]-tblCosts5[[#This Row],[Actual]]</f>
        <v>-5</v>
      </c>
      <c r="I15" s="11">
        <f>tblCosts5[[#This Row],[Quantity]]*tblCosts5[[#This Row],[Estimated]]</f>
        <v>95</v>
      </c>
      <c r="J15" s="11">
        <f ca="1">tblCosts5[[#This Row],[Quantity]]*tblCosts5[[#This Row],[Actual]]</f>
        <v>100</v>
      </c>
      <c r="K15" s="12">
        <f ca="1">tblCosts5[[#This Row],[Estimated ]]-tblCosts5[[#This Row],[Actual ]]</f>
        <v>-5</v>
      </c>
    </row>
    <row r="16" spans="2:11" ht="14.25" customHeight="1" x14ac:dyDescent="0.25">
      <c r="B16" s="1" t="s">
        <v>20</v>
      </c>
      <c r="C16" s="25" t="s">
        <v>143</v>
      </c>
      <c r="D16" s="16"/>
      <c r="E16" s="16">
        <v>1</v>
      </c>
      <c r="F16" s="9">
        <v>12</v>
      </c>
      <c r="G16" s="11">
        <f t="shared" ca="1" si="0"/>
        <v>30</v>
      </c>
      <c r="H16" s="10">
        <f ca="1">tblCosts5[[#This Row],[Estimated]]-tblCosts5[[#This Row],[Actual]]</f>
        <v>-18</v>
      </c>
      <c r="I16" s="11">
        <f>tblCosts5[[#This Row],[Quantity]]*tblCosts5[[#This Row],[Estimated]]</f>
        <v>12</v>
      </c>
      <c r="J16" s="11">
        <f ca="1">tblCosts5[[#This Row],[Quantity]]*tblCosts5[[#This Row],[Actual]]</f>
        <v>30</v>
      </c>
      <c r="K16" s="12">
        <f ca="1">tblCosts5[[#This Row],[Estimated ]]-tblCosts5[[#This Row],[Actual ]]</f>
        <v>-18</v>
      </c>
    </row>
    <row r="17" spans="2:11" ht="14.25" customHeight="1" x14ac:dyDescent="0.25">
      <c r="B17" s="1" t="s">
        <v>21</v>
      </c>
      <c r="C17" s="1" t="s">
        <v>22</v>
      </c>
      <c r="D17" s="16"/>
      <c r="E17" s="16">
        <v>1</v>
      </c>
      <c r="F17" s="9">
        <v>15</v>
      </c>
      <c r="G17" s="11">
        <f t="shared" ca="1" si="0"/>
        <v>31</v>
      </c>
      <c r="H17" s="10">
        <f ca="1">tblCosts5[[#This Row],[Estimated]]-tblCosts5[[#This Row],[Actual]]</f>
        <v>-16</v>
      </c>
      <c r="I17" s="11">
        <f>tblCosts5[[#This Row],[Quantity]]*tblCosts5[[#This Row],[Estimated]]</f>
        <v>15</v>
      </c>
      <c r="J17" s="11">
        <f ca="1">tblCosts5[[#This Row],[Quantity]]*tblCosts5[[#This Row],[Actual]]</f>
        <v>31</v>
      </c>
      <c r="K17" s="12">
        <f ca="1">tblCosts5[[#This Row],[Estimated ]]-tblCosts5[[#This Row],[Actual ]]</f>
        <v>-16</v>
      </c>
    </row>
    <row r="18" spans="2:11" ht="14.25" customHeight="1" x14ac:dyDescent="0.25">
      <c r="B18" s="1" t="s">
        <v>21</v>
      </c>
      <c r="C18" s="1" t="s">
        <v>23</v>
      </c>
      <c r="D18" s="16"/>
      <c r="E18" s="16">
        <v>1</v>
      </c>
      <c r="F18" s="9">
        <v>10</v>
      </c>
      <c r="G18" s="11">
        <f t="shared" ca="1" si="0"/>
        <v>14</v>
      </c>
      <c r="H18" s="10">
        <f ca="1">tblCosts5[[#This Row],[Estimated]]-tblCosts5[[#This Row],[Actual]]</f>
        <v>-4</v>
      </c>
      <c r="I18" s="11">
        <f>tblCosts5[[#This Row],[Quantity]]*tblCosts5[[#This Row],[Estimated]]</f>
        <v>10</v>
      </c>
      <c r="J18" s="11">
        <f ca="1">tblCosts5[[#This Row],[Quantity]]*tblCosts5[[#This Row],[Actual]]</f>
        <v>14</v>
      </c>
      <c r="K18" s="12">
        <f ca="1">tblCosts5[[#This Row],[Estimated ]]-tblCosts5[[#This Row],[Actual ]]</f>
        <v>-4</v>
      </c>
    </row>
    <row r="19" spans="2:11" ht="14.25" customHeight="1" x14ac:dyDescent="0.25">
      <c r="B19" s="1" t="s">
        <v>24</v>
      </c>
      <c r="C19" s="1" t="s">
        <v>25</v>
      </c>
      <c r="D19" s="16"/>
      <c r="E19" s="16">
        <v>1</v>
      </c>
      <c r="F19" s="9">
        <v>25</v>
      </c>
      <c r="G19" s="11">
        <f t="shared" ca="1" si="0"/>
        <v>40</v>
      </c>
      <c r="H19" s="10">
        <f ca="1">tblCosts5[[#This Row],[Estimated]]-tblCosts5[[#This Row],[Actual]]</f>
        <v>-15</v>
      </c>
      <c r="I19" s="11">
        <f>tblCosts5[[#This Row],[Quantity]]*tblCosts5[[#This Row],[Estimated]]</f>
        <v>25</v>
      </c>
      <c r="J19" s="11">
        <f ca="1">tblCosts5[[#This Row],[Quantity]]*tblCosts5[[#This Row],[Actual]]</f>
        <v>40</v>
      </c>
      <c r="K19" s="12">
        <f ca="1">tblCosts5[[#This Row],[Estimated ]]-tblCosts5[[#This Row],[Actual ]]</f>
        <v>-15</v>
      </c>
    </row>
    <row r="20" spans="2:11" ht="14.25" customHeight="1" x14ac:dyDescent="0.25">
      <c r="B20" s="1" t="s">
        <v>26</v>
      </c>
      <c r="C20" s="1" t="s">
        <v>27</v>
      </c>
      <c r="D20" s="16"/>
      <c r="E20" s="16">
        <v>1</v>
      </c>
      <c r="F20" s="9">
        <v>60</v>
      </c>
      <c r="G20" s="11">
        <f t="shared" ca="1" si="0"/>
        <v>79</v>
      </c>
      <c r="H20" s="10">
        <f ca="1">tblCosts5[[#This Row],[Estimated]]-tblCosts5[[#This Row],[Actual]]</f>
        <v>-19</v>
      </c>
      <c r="I20" s="11">
        <f>tblCosts5[[#This Row],[Quantity]]*tblCosts5[[#This Row],[Estimated]]</f>
        <v>60</v>
      </c>
      <c r="J20" s="11">
        <f ca="1">tblCosts5[[#This Row],[Quantity]]*tblCosts5[[#This Row],[Actual]]</f>
        <v>79</v>
      </c>
      <c r="K20" s="12">
        <f ca="1">tblCosts5[[#This Row],[Estimated ]]-tblCosts5[[#This Row],[Actual ]]</f>
        <v>-19</v>
      </c>
    </row>
    <row r="21" spans="2:11" ht="14.25" customHeight="1" x14ac:dyDescent="0.25">
      <c r="B21" s="1" t="s">
        <v>28</v>
      </c>
      <c r="C21" s="1" t="s">
        <v>29</v>
      </c>
      <c r="D21" s="16"/>
      <c r="E21" s="16">
        <v>1</v>
      </c>
      <c r="F21" s="9">
        <v>120</v>
      </c>
      <c r="G21" s="11">
        <f t="shared" ca="1" si="0"/>
        <v>123</v>
      </c>
      <c r="H21" s="10">
        <f ca="1">tblCosts5[[#This Row],[Estimated]]-tblCosts5[[#This Row],[Actual]]</f>
        <v>-3</v>
      </c>
      <c r="I21" s="11">
        <f>tblCosts5[[#This Row],[Quantity]]*tblCosts5[[#This Row],[Estimated]]</f>
        <v>120</v>
      </c>
      <c r="J21" s="11">
        <f ca="1">tblCosts5[[#This Row],[Quantity]]*tblCosts5[[#This Row],[Actual]]</f>
        <v>123</v>
      </c>
      <c r="K21" s="12">
        <f ca="1">tblCosts5[[#This Row],[Estimated ]]-tblCosts5[[#This Row],[Actual ]]</f>
        <v>-3</v>
      </c>
    </row>
    <row r="22" spans="2:11" ht="14.25" customHeight="1" x14ac:dyDescent="0.25">
      <c r="B22" s="1" t="s">
        <v>30</v>
      </c>
      <c r="C22" s="1" t="s">
        <v>31</v>
      </c>
      <c r="D22" s="16"/>
      <c r="E22" s="16">
        <v>1</v>
      </c>
      <c r="F22" s="9">
        <v>60</v>
      </c>
      <c r="G22" s="11">
        <f t="shared" ca="1" si="0"/>
        <v>69</v>
      </c>
      <c r="H22" s="10">
        <f ca="1">tblCosts5[[#This Row],[Estimated]]-tblCosts5[[#This Row],[Actual]]</f>
        <v>-9</v>
      </c>
      <c r="I22" s="11">
        <f>tblCosts5[[#This Row],[Quantity]]*tblCosts5[[#This Row],[Estimated]]</f>
        <v>60</v>
      </c>
      <c r="J22" s="11">
        <f ca="1">tblCosts5[[#This Row],[Quantity]]*tblCosts5[[#This Row],[Actual]]</f>
        <v>69</v>
      </c>
      <c r="K22" s="12">
        <f ca="1">tblCosts5[[#This Row],[Estimated ]]-tblCosts5[[#This Row],[Actual ]]</f>
        <v>-9</v>
      </c>
    </row>
    <row r="23" spans="2:11" ht="14.25" customHeight="1" x14ac:dyDescent="0.25">
      <c r="B23" s="1" t="s">
        <v>32</v>
      </c>
      <c r="C23" s="1" t="s">
        <v>33</v>
      </c>
      <c r="D23" s="16"/>
      <c r="E23" s="16">
        <v>1</v>
      </c>
      <c r="F23" s="9">
        <v>0.95</v>
      </c>
      <c r="G23" s="11">
        <f t="shared" ca="1" si="0"/>
        <v>18</v>
      </c>
      <c r="H23" s="10">
        <f ca="1">tblCosts5[[#This Row],[Estimated]]-tblCosts5[[#This Row],[Actual]]</f>
        <v>-17.05</v>
      </c>
      <c r="I23" s="11">
        <f>tblCosts5[[#This Row],[Quantity]]*tblCosts5[[#This Row],[Estimated]]</f>
        <v>0.95</v>
      </c>
      <c r="J23" s="11">
        <f ca="1">tblCosts5[[#This Row],[Quantity]]*tblCosts5[[#This Row],[Actual]]</f>
        <v>18</v>
      </c>
      <c r="K23" s="12">
        <f ca="1">tblCosts5[[#This Row],[Estimated ]]-tblCosts5[[#This Row],[Actual ]]</f>
        <v>-17.05</v>
      </c>
    </row>
    <row r="24" spans="2:11" ht="14.25" customHeight="1" x14ac:dyDescent="0.25">
      <c r="B24" s="1" t="s">
        <v>34</v>
      </c>
      <c r="C24" s="1" t="s">
        <v>35</v>
      </c>
      <c r="D24" s="16"/>
      <c r="E24" s="16">
        <v>1</v>
      </c>
      <c r="F24" s="9">
        <v>120</v>
      </c>
      <c r="G24" s="11">
        <f t="shared" ca="1" si="0"/>
        <v>132</v>
      </c>
      <c r="H24" s="10">
        <f ca="1">tblCosts5[[#This Row],[Estimated]]-tblCosts5[[#This Row],[Actual]]</f>
        <v>-12</v>
      </c>
      <c r="I24" s="11">
        <f>tblCosts5[[#This Row],[Quantity]]*tblCosts5[[#This Row],[Estimated]]</f>
        <v>120</v>
      </c>
      <c r="J24" s="11">
        <f ca="1">tblCosts5[[#This Row],[Quantity]]*tblCosts5[[#This Row],[Actual]]</f>
        <v>132</v>
      </c>
      <c r="K24" s="12">
        <f ca="1">tblCosts5[[#This Row],[Estimated ]]-tblCosts5[[#This Row],[Actual ]]</f>
        <v>-12</v>
      </c>
    </row>
    <row r="25" spans="2:11" ht="14.25" customHeight="1" x14ac:dyDescent="0.25">
      <c r="B25" s="1" t="s">
        <v>36</v>
      </c>
      <c r="D25" s="16"/>
      <c r="E25" s="16">
        <v>1</v>
      </c>
      <c r="F25" s="9">
        <v>20</v>
      </c>
      <c r="G25" s="11">
        <f t="shared" ca="1" si="0"/>
        <v>39</v>
      </c>
      <c r="H25" s="10">
        <f ca="1">tblCosts5[[#This Row],[Estimated]]-tblCosts5[[#This Row],[Actual]]</f>
        <v>-19</v>
      </c>
      <c r="I25" s="11">
        <f>tblCosts5[[#This Row],[Quantity]]*tblCosts5[[#This Row],[Estimated]]</f>
        <v>20</v>
      </c>
      <c r="J25" s="11">
        <f ca="1">tblCosts5[[#This Row],[Quantity]]*tblCosts5[[#This Row],[Actual]]</f>
        <v>39</v>
      </c>
      <c r="K25" s="12">
        <f ca="1">tblCosts5[[#This Row],[Estimated ]]-tblCosts5[[#This Row],[Actual ]]</f>
        <v>-19</v>
      </c>
    </row>
    <row r="26" spans="2:11" ht="15.75" customHeight="1" x14ac:dyDescent="0.25">
      <c r="B26" s="3"/>
      <c r="C26" s="3" t="s">
        <v>37</v>
      </c>
      <c r="D26" s="17"/>
      <c r="E26" s="17"/>
      <c r="F26" s="13">
        <f>SUBTOTAL(109,tblCosts5[Estimated])</f>
        <v>1765.45</v>
      </c>
      <c r="G26" s="19">
        <f ca="1">SUBTOTAL(109,tblCosts5[Actual])</f>
        <v>2014</v>
      </c>
      <c r="H26" s="21">
        <f ca="1">SUBTOTAL(109,tblCosts5[Difference])</f>
        <v>-248.55</v>
      </c>
      <c r="I26" s="14">
        <f>SUBTOTAL(109,tblCosts5[[Estimated ]])</f>
        <v>1765.45</v>
      </c>
      <c r="J26" s="14">
        <f ca="1">SUBTOTAL(109,tblCosts5[[Actual ]])</f>
        <v>2014</v>
      </c>
      <c r="K26" s="22">
        <f ca="1">SUBTOTAL(109,tblCosts5[[Difference ]])</f>
        <v>-248.55</v>
      </c>
    </row>
    <row r="27" spans="2:11" ht="15.75" customHeight="1" x14ac:dyDescent="0.25">
      <c r="B27" s="5"/>
      <c r="C27" s="4" t="s">
        <v>42</v>
      </c>
      <c r="D27" s="4"/>
      <c r="E27" s="4"/>
      <c r="F27" s="24">
        <f>tblCosts5[[#Totals],[Estimated]]*0.3</f>
        <v>529.63499999999999</v>
      </c>
      <c r="G27" s="24">
        <f ca="1">tblCosts5[[#Totals],[Actual]]*0.3</f>
        <v>604.19999999999993</v>
      </c>
      <c r="H27" s="24">
        <f ca="1">tblCosts5[[#Totals],[Difference]]*0.3</f>
        <v>-74.564999999999998</v>
      </c>
      <c r="I27" s="24">
        <f>tblCosts5[[#Totals],[Estimated ]]*0.3</f>
        <v>529.63499999999999</v>
      </c>
      <c r="J27" s="24">
        <f ca="1">tblCosts5[[#Totals],[Actual ]]*0.3</f>
        <v>604.19999999999993</v>
      </c>
      <c r="K27" s="24">
        <f ca="1">tblCosts5[[#Totals],[Difference ]]*0.3</f>
        <v>-74.564999999999998</v>
      </c>
    </row>
    <row r="28" spans="2:11" ht="13.5" customHeight="1" x14ac:dyDescent="0.25">
      <c r="B28" s="5"/>
      <c r="C28" s="4" t="s">
        <v>38</v>
      </c>
      <c r="D28" s="4"/>
      <c r="E28" s="4"/>
      <c r="F28" s="24">
        <f>SUM(F26:F27)</f>
        <v>2295.085</v>
      </c>
      <c r="G28" s="24">
        <f ca="1">SUM(G26:G27)</f>
        <v>2618.1999999999998</v>
      </c>
      <c r="H28" s="24">
        <f ca="1">SUM(H26:H27)</f>
        <v>-323.11500000000001</v>
      </c>
      <c r="I28" s="20">
        <f>SUM(tblCosts5[[#Totals],[Estimated ]],Overage)</f>
        <v>2295.085</v>
      </c>
      <c r="J28" s="20">
        <f ca="1">SUM(tblCosts5[[#Totals],[Actual ]],Overage)</f>
        <v>2543.6350000000002</v>
      </c>
      <c r="K28" s="20">
        <f ca="1">SUM(tblCosts5[[#Totals],[Difference ]],Overage)</f>
        <v>281.08499999999998</v>
      </c>
    </row>
    <row r="29" spans="2:11" ht="13.5" customHeight="1" x14ac:dyDescent="0.25"/>
  </sheetData>
  <mergeCells count="2">
    <mergeCell ref="F4:H4"/>
    <mergeCell ref="I4:K4"/>
  </mergeCells>
  <conditionalFormatting sqref="I6:J25">
    <cfRule type="expression" dxfId="5" priority="2">
      <formula>MOD(ROW(),2)=0</formula>
    </cfRule>
  </conditionalFormatting>
  <conditionalFormatting sqref="K6:K25">
    <cfRule type="expression" dxfId="4" priority="1">
      <formula>MOD(ROW(),2)=0</formula>
    </cfRule>
  </conditionalFormatting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06186-271E-45D4-85A0-00594A9367C5}">
  <sheetPr>
    <tabColor rgb="FF808000"/>
    <pageSetUpPr autoPageBreaks="0" fitToPage="1"/>
  </sheetPr>
  <dimension ref="B2:K22"/>
  <sheetViews>
    <sheetView showGridLines="0" workbookViewId="0">
      <selection activeCell="D29" sqref="D29"/>
    </sheetView>
  </sheetViews>
  <sheetFormatPr defaultRowHeight="15" x14ac:dyDescent="0.25"/>
  <cols>
    <col min="1" max="1" width="1.5703125" style="1" customWidth="1"/>
    <col min="2" max="2" width="32.140625" style="1" customWidth="1"/>
    <col min="3" max="3" width="54" style="1" bestFit="1" customWidth="1"/>
    <col min="4" max="4" width="42.28515625" style="1" customWidth="1"/>
    <col min="5" max="5" width="16.140625" style="1" customWidth="1"/>
    <col min="6" max="11" width="15.7109375" style="1" customWidth="1"/>
    <col min="12" max="12" width="2.7109375" style="1" customWidth="1"/>
    <col min="13" max="16384" width="9.140625" style="1"/>
  </cols>
  <sheetData>
    <row r="2" spans="2:11" ht="30.75" thickBot="1" x14ac:dyDescent="0.45">
      <c r="B2" s="2" t="s">
        <v>140</v>
      </c>
      <c r="C2" s="2"/>
      <c r="D2" s="2"/>
      <c r="E2" s="2"/>
      <c r="F2" s="2"/>
      <c r="G2" s="2"/>
      <c r="H2" s="2"/>
      <c r="I2" s="2"/>
    </row>
    <row r="3" spans="2:11" ht="6.75" customHeight="1" thickTop="1" x14ac:dyDescent="0.25"/>
    <row r="4" spans="2:11" x14ac:dyDescent="0.25">
      <c r="F4" s="42" t="s">
        <v>2</v>
      </c>
      <c r="G4" s="43"/>
      <c r="H4" s="44"/>
      <c r="I4" s="45" t="s">
        <v>3</v>
      </c>
      <c r="J4" s="46"/>
      <c r="K4" s="46"/>
    </row>
    <row r="5" spans="2:11" ht="15.75" customHeight="1" x14ac:dyDescent="0.25">
      <c r="B5" s="25" t="s">
        <v>108</v>
      </c>
      <c r="C5" s="25" t="s">
        <v>141</v>
      </c>
      <c r="D5" s="25" t="s">
        <v>137</v>
      </c>
      <c r="E5" s="15" t="s">
        <v>1</v>
      </c>
      <c r="F5" s="6" t="s">
        <v>5</v>
      </c>
      <c r="G5" s="18" t="s">
        <v>6</v>
      </c>
      <c r="H5" s="7" t="s">
        <v>43</v>
      </c>
      <c r="I5" s="8" t="s">
        <v>40</v>
      </c>
      <c r="J5" s="8" t="s">
        <v>41</v>
      </c>
      <c r="K5" s="23" t="s">
        <v>44</v>
      </c>
    </row>
    <row r="6" spans="2:11" ht="14.25" customHeight="1" x14ac:dyDescent="0.25">
      <c r="B6" s="1" t="s">
        <v>109</v>
      </c>
      <c r="C6" s="1" t="s">
        <v>110</v>
      </c>
      <c r="D6" s="16"/>
      <c r="E6" s="16">
        <v>1</v>
      </c>
      <c r="F6" s="9">
        <v>250</v>
      </c>
      <c r="G6" s="11">
        <f t="shared" ref="G6:G19" ca="1" si="0">RANDBETWEEN(F6+2,F6+20)</f>
        <v>257</v>
      </c>
      <c r="H6" s="10">
        <f ca="1">tblCosts34[[#This Row],[Estimated]]-tblCosts34[[#This Row],[Actual]]</f>
        <v>-7</v>
      </c>
      <c r="I6" s="11">
        <f>tblCosts34[[#This Row],[Quantity]]*tblCosts34[[#This Row],[Estimated]]</f>
        <v>250</v>
      </c>
      <c r="J6" s="11">
        <f ca="1">tblCosts34[[#This Row],[Quantity]]*tblCosts34[[#This Row],[Actual]]</f>
        <v>257</v>
      </c>
      <c r="K6" s="12">
        <f ca="1">tblCosts34[[#This Row],[Estimated ]]-tblCosts34[[#This Row],[Actual ]]</f>
        <v>-7</v>
      </c>
    </row>
    <row r="7" spans="2:11" ht="14.25" customHeight="1" x14ac:dyDescent="0.25">
      <c r="B7" s="1" t="s">
        <v>111</v>
      </c>
      <c r="C7" s="1" t="s">
        <v>112</v>
      </c>
      <c r="D7" s="16"/>
      <c r="E7" s="16">
        <v>1</v>
      </c>
      <c r="F7" s="9">
        <v>200</v>
      </c>
      <c r="G7" s="11">
        <f t="shared" ca="1" si="0"/>
        <v>205</v>
      </c>
      <c r="H7" s="10">
        <f ca="1">tblCosts34[[#This Row],[Estimated]]-tblCosts34[[#This Row],[Actual]]</f>
        <v>-5</v>
      </c>
      <c r="I7" s="11">
        <f>tblCosts34[[#This Row],[Quantity]]*tblCosts34[[#This Row],[Estimated]]</f>
        <v>200</v>
      </c>
      <c r="J7" s="11">
        <f ca="1">tblCosts34[[#This Row],[Quantity]]*tblCosts34[[#This Row],[Actual]]</f>
        <v>205</v>
      </c>
      <c r="K7" s="12">
        <f ca="1">tblCosts34[[#This Row],[Estimated ]]-tblCosts34[[#This Row],[Actual ]]</f>
        <v>-5</v>
      </c>
    </row>
    <row r="8" spans="2:11" ht="14.25" customHeight="1" x14ac:dyDescent="0.25">
      <c r="B8" s="1" t="s">
        <v>113</v>
      </c>
      <c r="C8" s="1" t="s">
        <v>114</v>
      </c>
      <c r="D8" s="16"/>
      <c r="E8" s="16">
        <v>1</v>
      </c>
      <c r="F8" s="9">
        <v>50</v>
      </c>
      <c r="G8" s="11">
        <f t="shared" ca="1" si="0"/>
        <v>58</v>
      </c>
      <c r="H8" s="10">
        <f ca="1">tblCosts34[[#This Row],[Estimated]]-tblCosts34[[#This Row],[Actual]]</f>
        <v>-8</v>
      </c>
      <c r="I8" s="11">
        <f>tblCosts34[[#This Row],[Quantity]]*tblCosts34[[#This Row],[Estimated]]</f>
        <v>50</v>
      </c>
      <c r="J8" s="11">
        <f ca="1">tblCosts34[[#This Row],[Quantity]]*tblCosts34[[#This Row],[Actual]]</f>
        <v>58</v>
      </c>
      <c r="K8" s="12">
        <f ca="1">tblCosts34[[#This Row],[Estimated ]]-tblCosts34[[#This Row],[Actual ]]</f>
        <v>-8</v>
      </c>
    </row>
    <row r="9" spans="2:11" ht="14.25" customHeight="1" x14ac:dyDescent="0.25">
      <c r="B9" s="1" t="s">
        <v>115</v>
      </c>
      <c r="C9" s="1" t="s">
        <v>116</v>
      </c>
      <c r="D9" s="16"/>
      <c r="E9" s="16">
        <v>1</v>
      </c>
      <c r="F9" s="9">
        <v>200</v>
      </c>
      <c r="G9" s="11">
        <f t="shared" ca="1" si="0"/>
        <v>220</v>
      </c>
      <c r="H9" s="10">
        <f ca="1">tblCosts34[[#This Row],[Estimated]]-tblCosts34[[#This Row],[Actual]]</f>
        <v>-20</v>
      </c>
      <c r="I9" s="11">
        <f>tblCosts34[[#This Row],[Quantity]]*tblCosts34[[#This Row],[Estimated]]</f>
        <v>200</v>
      </c>
      <c r="J9" s="11">
        <f ca="1">tblCosts34[[#This Row],[Quantity]]*tblCosts34[[#This Row],[Actual]]</f>
        <v>220</v>
      </c>
      <c r="K9" s="12">
        <f ca="1">tblCosts34[[#This Row],[Estimated ]]-tblCosts34[[#This Row],[Actual ]]</f>
        <v>-20</v>
      </c>
    </row>
    <row r="10" spans="2:11" ht="14.25" customHeight="1" x14ac:dyDescent="0.25">
      <c r="B10" s="1" t="s">
        <v>117</v>
      </c>
      <c r="C10" s="1" t="s">
        <v>118</v>
      </c>
      <c r="D10" s="16"/>
      <c r="E10" s="16">
        <v>1</v>
      </c>
      <c r="F10" s="9">
        <v>200</v>
      </c>
      <c r="G10" s="11">
        <f t="shared" ca="1" si="0"/>
        <v>208</v>
      </c>
      <c r="H10" s="10">
        <f ca="1">tblCosts34[[#This Row],[Estimated]]-tblCosts34[[#This Row],[Actual]]</f>
        <v>-8</v>
      </c>
      <c r="I10" s="11">
        <f>tblCosts34[[#This Row],[Quantity]]*tblCosts34[[#This Row],[Estimated]]</f>
        <v>200</v>
      </c>
      <c r="J10" s="11">
        <f ca="1">tblCosts34[[#This Row],[Quantity]]*tblCosts34[[#This Row],[Actual]]</f>
        <v>208</v>
      </c>
      <c r="K10" s="12">
        <f ca="1">tblCosts34[[#This Row],[Estimated ]]-tblCosts34[[#This Row],[Actual ]]</f>
        <v>-8</v>
      </c>
    </row>
    <row r="11" spans="2:11" ht="14.25" customHeight="1" x14ac:dyDescent="0.25">
      <c r="B11" s="1" t="s">
        <v>119</v>
      </c>
      <c r="C11" s="1" t="s">
        <v>120</v>
      </c>
      <c r="D11" s="16"/>
      <c r="E11" s="16">
        <v>1</v>
      </c>
      <c r="F11" s="9">
        <v>100</v>
      </c>
      <c r="G11" s="11">
        <f t="shared" ca="1" si="0"/>
        <v>109</v>
      </c>
      <c r="H11" s="10">
        <f ca="1">tblCosts34[[#This Row],[Estimated]]-tblCosts34[[#This Row],[Actual]]</f>
        <v>-9</v>
      </c>
      <c r="I11" s="11">
        <f>tblCosts34[[#This Row],[Quantity]]*tblCosts34[[#This Row],[Estimated]]</f>
        <v>100</v>
      </c>
      <c r="J11" s="11">
        <f ca="1">tblCosts34[[#This Row],[Quantity]]*tblCosts34[[#This Row],[Actual]]</f>
        <v>109</v>
      </c>
      <c r="K11" s="12">
        <f ca="1">tblCosts34[[#This Row],[Estimated ]]-tblCosts34[[#This Row],[Actual ]]</f>
        <v>-9</v>
      </c>
    </row>
    <row r="12" spans="2:11" ht="14.25" customHeight="1" x14ac:dyDescent="0.25">
      <c r="B12" s="1" t="s">
        <v>121</v>
      </c>
      <c r="C12" s="1" t="s">
        <v>122</v>
      </c>
      <c r="D12" s="16"/>
      <c r="E12" s="16">
        <v>1</v>
      </c>
      <c r="F12" s="9">
        <v>22.5</v>
      </c>
      <c r="G12" s="11">
        <f t="shared" ca="1" si="0"/>
        <v>42</v>
      </c>
      <c r="H12" s="10">
        <f ca="1">tblCosts34[[#This Row],[Estimated]]-tblCosts34[[#This Row],[Actual]]</f>
        <v>-19.5</v>
      </c>
      <c r="I12" s="11">
        <f>tblCosts34[[#This Row],[Quantity]]*tblCosts34[[#This Row],[Estimated]]</f>
        <v>22.5</v>
      </c>
      <c r="J12" s="11">
        <f ca="1">tblCosts34[[#This Row],[Quantity]]*tblCosts34[[#This Row],[Actual]]</f>
        <v>42</v>
      </c>
      <c r="K12" s="12">
        <f ca="1">tblCosts34[[#This Row],[Estimated ]]-tblCosts34[[#This Row],[Actual ]]</f>
        <v>-19.5</v>
      </c>
    </row>
    <row r="13" spans="2:11" ht="14.25" customHeight="1" x14ac:dyDescent="0.25">
      <c r="B13" s="1" t="s">
        <v>123</v>
      </c>
      <c r="C13" s="1" t="s">
        <v>124</v>
      </c>
      <c r="D13" s="16"/>
      <c r="E13" s="16">
        <v>1</v>
      </c>
      <c r="F13" s="9">
        <v>90</v>
      </c>
      <c r="G13" s="11">
        <f t="shared" ca="1" si="0"/>
        <v>108</v>
      </c>
      <c r="H13" s="10">
        <f ca="1">tblCosts34[[#This Row],[Estimated]]-tblCosts34[[#This Row],[Actual]]</f>
        <v>-18</v>
      </c>
      <c r="I13" s="11">
        <f>tblCosts34[[#This Row],[Quantity]]*tblCosts34[[#This Row],[Estimated]]</f>
        <v>90</v>
      </c>
      <c r="J13" s="11">
        <f ca="1">tblCosts34[[#This Row],[Quantity]]*tblCosts34[[#This Row],[Actual]]</f>
        <v>108</v>
      </c>
      <c r="K13" s="12">
        <f ca="1">tblCosts34[[#This Row],[Estimated ]]-tblCosts34[[#This Row],[Actual ]]</f>
        <v>-18</v>
      </c>
    </row>
    <row r="14" spans="2:11" ht="14.25" customHeight="1" x14ac:dyDescent="0.25">
      <c r="B14" s="1" t="s">
        <v>125</v>
      </c>
      <c r="C14" s="1" t="s">
        <v>126</v>
      </c>
      <c r="D14" s="16"/>
      <c r="E14" s="16">
        <v>1</v>
      </c>
      <c r="F14" s="9">
        <v>115</v>
      </c>
      <c r="G14" s="11">
        <f t="shared" ca="1" si="0"/>
        <v>120</v>
      </c>
      <c r="H14" s="10">
        <f ca="1">tblCosts34[[#This Row],[Estimated]]-tblCosts34[[#This Row],[Actual]]</f>
        <v>-5</v>
      </c>
      <c r="I14" s="11">
        <f>tblCosts34[[#This Row],[Quantity]]*tblCosts34[[#This Row],[Estimated]]</f>
        <v>115</v>
      </c>
      <c r="J14" s="11">
        <f ca="1">tblCosts34[[#This Row],[Quantity]]*tblCosts34[[#This Row],[Actual]]</f>
        <v>120</v>
      </c>
      <c r="K14" s="12">
        <f ca="1">tblCosts34[[#This Row],[Estimated ]]-tblCosts34[[#This Row],[Actual ]]</f>
        <v>-5</v>
      </c>
    </row>
    <row r="15" spans="2:11" ht="14.25" customHeight="1" x14ac:dyDescent="0.25">
      <c r="B15" s="1" t="s">
        <v>127</v>
      </c>
      <c r="C15" s="1" t="s">
        <v>128</v>
      </c>
      <c r="D15" s="16"/>
      <c r="E15" s="16">
        <v>1</v>
      </c>
      <c r="F15" s="9">
        <v>95</v>
      </c>
      <c r="G15" s="11">
        <f t="shared" ca="1" si="0"/>
        <v>109</v>
      </c>
      <c r="H15" s="10">
        <f ca="1">tblCosts34[[#This Row],[Estimated]]-tblCosts34[[#This Row],[Actual]]</f>
        <v>-14</v>
      </c>
      <c r="I15" s="11">
        <f>tblCosts34[[#This Row],[Quantity]]*tblCosts34[[#This Row],[Estimated]]</f>
        <v>95</v>
      </c>
      <c r="J15" s="11">
        <f ca="1">tblCosts34[[#This Row],[Quantity]]*tblCosts34[[#This Row],[Actual]]</f>
        <v>109</v>
      </c>
      <c r="K15" s="12">
        <f ca="1">tblCosts34[[#This Row],[Estimated ]]-tblCosts34[[#This Row],[Actual ]]</f>
        <v>-14</v>
      </c>
    </row>
    <row r="16" spans="2:11" ht="14.25" customHeight="1" x14ac:dyDescent="0.25">
      <c r="B16" s="1" t="s">
        <v>129</v>
      </c>
      <c r="C16" s="1" t="s">
        <v>130</v>
      </c>
      <c r="D16" s="16"/>
      <c r="E16" s="16">
        <v>1</v>
      </c>
      <c r="F16" s="9">
        <v>12</v>
      </c>
      <c r="G16" s="11">
        <f t="shared" ca="1" si="0"/>
        <v>29</v>
      </c>
      <c r="H16" s="10">
        <f ca="1">tblCosts34[[#This Row],[Estimated]]-tblCosts34[[#This Row],[Actual]]</f>
        <v>-17</v>
      </c>
      <c r="I16" s="11">
        <f>tblCosts34[[#This Row],[Quantity]]*tblCosts34[[#This Row],[Estimated]]</f>
        <v>12</v>
      </c>
      <c r="J16" s="11">
        <f ca="1">tblCosts34[[#This Row],[Quantity]]*tblCosts34[[#This Row],[Actual]]</f>
        <v>29</v>
      </c>
      <c r="K16" s="12">
        <f ca="1">tblCosts34[[#This Row],[Estimated ]]-tblCosts34[[#This Row],[Actual ]]</f>
        <v>-17</v>
      </c>
    </row>
    <row r="17" spans="2:11" ht="14.25" customHeight="1" x14ac:dyDescent="0.25">
      <c r="B17" s="1" t="s">
        <v>131</v>
      </c>
      <c r="C17" s="1" t="s">
        <v>132</v>
      </c>
      <c r="D17" s="16"/>
      <c r="E17" s="16">
        <v>1</v>
      </c>
      <c r="F17" s="9">
        <v>15</v>
      </c>
      <c r="G17" s="11">
        <f t="shared" ca="1" si="0"/>
        <v>20</v>
      </c>
      <c r="H17" s="10">
        <f ca="1">tblCosts34[[#This Row],[Estimated]]-tblCosts34[[#This Row],[Actual]]</f>
        <v>-5</v>
      </c>
      <c r="I17" s="11">
        <f>tblCosts34[[#This Row],[Quantity]]*tblCosts34[[#This Row],[Estimated]]</f>
        <v>15</v>
      </c>
      <c r="J17" s="11">
        <f ca="1">tblCosts34[[#This Row],[Quantity]]*tblCosts34[[#This Row],[Actual]]</f>
        <v>20</v>
      </c>
      <c r="K17" s="12">
        <f ca="1">tblCosts34[[#This Row],[Estimated ]]-tblCosts34[[#This Row],[Actual ]]</f>
        <v>-5</v>
      </c>
    </row>
    <row r="18" spans="2:11" ht="14.25" customHeight="1" x14ac:dyDescent="0.25">
      <c r="B18" s="1" t="s">
        <v>133</v>
      </c>
      <c r="C18" s="1" t="s">
        <v>134</v>
      </c>
      <c r="D18" s="16"/>
      <c r="E18" s="16">
        <v>1</v>
      </c>
      <c r="F18" s="9">
        <v>10</v>
      </c>
      <c r="G18" s="11">
        <f t="shared" ca="1" si="0"/>
        <v>23</v>
      </c>
      <c r="H18" s="10">
        <f ca="1">tblCosts34[[#This Row],[Estimated]]-tblCosts34[[#This Row],[Actual]]</f>
        <v>-13</v>
      </c>
      <c r="I18" s="11">
        <f>tblCosts34[[#This Row],[Quantity]]*tblCosts34[[#This Row],[Estimated]]</f>
        <v>10</v>
      </c>
      <c r="J18" s="11">
        <f ca="1">tblCosts34[[#This Row],[Quantity]]*tblCosts34[[#This Row],[Actual]]</f>
        <v>23</v>
      </c>
      <c r="K18" s="12">
        <f ca="1">tblCosts34[[#This Row],[Estimated ]]-tblCosts34[[#This Row],[Actual ]]</f>
        <v>-13</v>
      </c>
    </row>
    <row r="19" spans="2:11" ht="14.25" customHeight="1" x14ac:dyDescent="0.25">
      <c r="B19" s="1" t="s">
        <v>135</v>
      </c>
      <c r="C19" s="1" t="s">
        <v>136</v>
      </c>
      <c r="D19" s="16"/>
      <c r="E19" s="16">
        <v>1</v>
      </c>
      <c r="F19" s="9">
        <v>25</v>
      </c>
      <c r="G19" s="11">
        <f t="shared" ca="1" si="0"/>
        <v>28</v>
      </c>
      <c r="H19" s="10">
        <f ca="1">tblCosts34[[#This Row],[Estimated]]-tblCosts34[[#This Row],[Actual]]</f>
        <v>-3</v>
      </c>
      <c r="I19" s="11">
        <f>tblCosts34[[#This Row],[Quantity]]*tblCosts34[[#This Row],[Estimated]]</f>
        <v>25</v>
      </c>
      <c r="J19" s="11">
        <f ca="1">tblCosts34[[#This Row],[Quantity]]*tblCosts34[[#This Row],[Actual]]</f>
        <v>28</v>
      </c>
      <c r="K19" s="12">
        <f ca="1">tblCosts34[[#This Row],[Estimated ]]-tblCosts34[[#This Row],[Actual ]]</f>
        <v>-3</v>
      </c>
    </row>
    <row r="20" spans="2:11" x14ac:dyDescent="0.25">
      <c r="B20" s="25"/>
      <c r="C20" s="25" t="s">
        <v>37</v>
      </c>
      <c r="D20" s="33"/>
      <c r="E20" s="33"/>
      <c r="F20" s="34">
        <f>SUBTOTAL(109,tblCosts34[Estimated])</f>
        <v>1384.5</v>
      </c>
      <c r="G20" s="30">
        <f ca="1">SUBTOTAL(109,tblCosts34[Actual])</f>
        <v>1536</v>
      </c>
      <c r="H20" s="35">
        <f ca="1">SUBTOTAL(109,tblCosts34[Difference])</f>
        <v>-151.5</v>
      </c>
      <c r="I20" s="29">
        <f>SUBTOTAL(109,tblCosts34[[Estimated ]])</f>
        <v>1384.5</v>
      </c>
      <c r="J20" s="29">
        <f ca="1">SUBTOTAL(109,tblCosts34[[Actual ]])</f>
        <v>1536</v>
      </c>
      <c r="K20" s="29">
        <f ca="1">SUBTOTAL(109,tblCosts34[[Difference ]])</f>
        <v>-151.5</v>
      </c>
    </row>
    <row r="21" spans="2:11" x14ac:dyDescent="0.25">
      <c r="B21" s="5"/>
      <c r="C21" s="4" t="s">
        <v>42</v>
      </c>
      <c r="D21" s="4"/>
      <c r="E21" s="4"/>
      <c r="F21" s="24">
        <f>tblCosts34[[#Totals],[Estimated]]*0.3</f>
        <v>415.34999999999997</v>
      </c>
      <c r="G21" s="24">
        <f ca="1">tblCosts34[[#Totals],[Actual]]*0.3</f>
        <v>460.79999999999995</v>
      </c>
      <c r="H21" s="24">
        <f ca="1">tblCosts34[[#Totals],[Difference]]*0.3</f>
        <v>-45.449999999999996</v>
      </c>
      <c r="I21" s="24">
        <f>tblCosts34[[#Totals],[Estimated ]]*0.3</f>
        <v>415.34999999999997</v>
      </c>
      <c r="J21" s="24">
        <f ca="1">tblCosts34[[#Totals],[Actual ]]*0.3</f>
        <v>460.79999999999995</v>
      </c>
      <c r="K21" s="24">
        <f ca="1">tblCosts34[[#Totals],[Difference ]]*0.3</f>
        <v>-45.449999999999996</v>
      </c>
    </row>
    <row r="22" spans="2:11" x14ac:dyDescent="0.25">
      <c r="B22" s="5"/>
      <c r="C22" s="4" t="s">
        <v>38</v>
      </c>
      <c r="D22" s="4"/>
      <c r="E22" s="4"/>
      <c r="F22" s="24">
        <f>SUM(F20:F21)</f>
        <v>1799.85</v>
      </c>
      <c r="G22" s="24">
        <f ca="1">SUM(G20:G21)</f>
        <v>1996.8</v>
      </c>
      <c r="H22" s="24">
        <f ca="1">SUM(H20:H21)</f>
        <v>-196.95</v>
      </c>
      <c r="I22" s="20">
        <f>SUM(tblCosts34[[#Totals],[Estimated ]],Overage)</f>
        <v>1799.85</v>
      </c>
      <c r="J22" s="20">
        <f ca="1">SUM(tblCosts34[[#Totals],[Actual ]],Overage)</f>
        <v>1951.35</v>
      </c>
      <c r="K22" s="20">
        <f ca="1">SUM(tblCosts34[[#Totals],[Difference ]],Overage)</f>
        <v>263.84999999999997</v>
      </c>
    </row>
  </sheetData>
  <mergeCells count="2">
    <mergeCell ref="F4:H4"/>
    <mergeCell ref="I4:K4"/>
  </mergeCells>
  <conditionalFormatting sqref="I6:J19">
    <cfRule type="expression" dxfId="3" priority="2">
      <formula>MOD(ROW(),2)=0</formula>
    </cfRule>
  </conditionalFormatting>
  <conditionalFormatting sqref="K6:K19">
    <cfRule type="expression" dxfId="2" priority="1">
      <formula>MOD(ROW(),2)=0</formula>
    </cfRule>
  </conditionalFormatting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F31D0-A9DA-4547-8662-AC6A92CC5718}">
  <sheetPr>
    <tabColor rgb="FF808000"/>
    <pageSetUpPr autoPageBreaks="0" fitToPage="1"/>
  </sheetPr>
  <dimension ref="B2:L34"/>
  <sheetViews>
    <sheetView showGridLines="0" tabSelected="1" workbookViewId="0">
      <selection activeCell="D37" sqref="D37"/>
    </sheetView>
  </sheetViews>
  <sheetFormatPr defaultRowHeight="15" x14ac:dyDescent="0.25"/>
  <cols>
    <col min="1" max="1" width="1.5703125" style="1" customWidth="1"/>
    <col min="2" max="3" width="32.140625" style="1" customWidth="1"/>
    <col min="4" max="4" width="54" style="1" bestFit="1" customWidth="1"/>
    <col min="5" max="5" width="42.28515625" style="1" customWidth="1"/>
    <col min="6" max="6" width="16.140625" style="1" customWidth="1"/>
    <col min="7" max="12" width="15.7109375" style="1" customWidth="1"/>
    <col min="13" max="13" width="2.7109375" style="1" customWidth="1"/>
    <col min="14" max="16384" width="9.140625" style="1"/>
  </cols>
  <sheetData>
    <row r="2" spans="2:12" ht="30.75" thickBot="1" x14ac:dyDescent="0.45">
      <c r="B2" s="2" t="s">
        <v>138</v>
      </c>
      <c r="C2" s="2"/>
      <c r="D2" s="2"/>
      <c r="E2" s="2"/>
      <c r="F2" s="2"/>
      <c r="G2" s="2"/>
      <c r="H2" s="2"/>
      <c r="I2" s="2"/>
      <c r="J2" s="2"/>
    </row>
    <row r="3" spans="2:12" ht="6.75" customHeight="1" thickTop="1" x14ac:dyDescent="0.25"/>
    <row r="4" spans="2:12" x14ac:dyDescent="0.25">
      <c r="G4" s="42" t="s">
        <v>2</v>
      </c>
      <c r="H4" s="43"/>
      <c r="I4" s="44"/>
      <c r="J4" s="45" t="s">
        <v>3</v>
      </c>
      <c r="K4" s="46"/>
      <c r="L4" s="46"/>
    </row>
    <row r="5" spans="2:12" ht="15.75" customHeight="1" x14ac:dyDescent="0.25">
      <c r="B5" s="25" t="s">
        <v>142</v>
      </c>
      <c r="C5" s="25" t="s">
        <v>0</v>
      </c>
      <c r="D5" s="25" t="s">
        <v>141</v>
      </c>
      <c r="E5" s="25" t="s">
        <v>137</v>
      </c>
      <c r="F5" s="15" t="s">
        <v>1</v>
      </c>
      <c r="G5" s="6" t="s">
        <v>5</v>
      </c>
      <c r="H5" s="18" t="s">
        <v>6</v>
      </c>
      <c r="I5" s="7" t="s">
        <v>43</v>
      </c>
      <c r="J5" s="8" t="s">
        <v>40</v>
      </c>
      <c r="K5" s="8" t="s">
        <v>41</v>
      </c>
      <c r="L5" s="23" t="s">
        <v>44</v>
      </c>
    </row>
    <row r="6" spans="2:12" ht="14.25" customHeight="1" x14ac:dyDescent="0.25">
      <c r="B6" s="1" t="s">
        <v>49</v>
      </c>
      <c r="C6" s="1" t="s">
        <v>50</v>
      </c>
      <c r="D6" s="1" t="s">
        <v>51</v>
      </c>
      <c r="E6" s="16"/>
      <c r="F6" s="16">
        <v>1</v>
      </c>
      <c r="G6" s="9">
        <v>250</v>
      </c>
      <c r="H6" s="11">
        <f t="shared" ref="H6:H25" ca="1" si="0">RANDBETWEEN(G6+2,G6+20)</f>
        <v>253</v>
      </c>
      <c r="I6" s="10">
        <f ca="1">tblCosts3[[#This Row],[Estimated]]-tblCosts3[[#This Row],[Actual]]</f>
        <v>-3</v>
      </c>
      <c r="J6" s="11">
        <f>tblCosts3[[#This Row],[Quantity]]*tblCosts3[[#This Row],[Estimated]]</f>
        <v>250</v>
      </c>
      <c r="K6" s="11">
        <f ca="1">tblCosts3[[#This Row],[Quantity]]*tblCosts3[[#This Row],[Actual]]</f>
        <v>253</v>
      </c>
      <c r="L6" s="12">
        <f ca="1">tblCosts3[[#This Row],[Estimated ]]-tblCosts3[[#This Row],[Actual ]]</f>
        <v>-3</v>
      </c>
    </row>
    <row r="7" spans="2:12" ht="14.25" customHeight="1" x14ac:dyDescent="0.25">
      <c r="C7" s="1" t="s">
        <v>52</v>
      </c>
      <c r="D7" s="1" t="s">
        <v>53</v>
      </c>
      <c r="E7" s="16"/>
      <c r="F7" s="16">
        <v>1</v>
      </c>
      <c r="G7" s="9">
        <v>200</v>
      </c>
      <c r="H7" s="11">
        <f t="shared" ca="1" si="0"/>
        <v>217</v>
      </c>
      <c r="I7" s="10">
        <f ca="1">tblCosts3[[#This Row],[Estimated]]-tblCosts3[[#This Row],[Actual]]</f>
        <v>-17</v>
      </c>
      <c r="J7" s="11">
        <f>tblCosts3[[#This Row],[Quantity]]*tblCosts3[[#This Row],[Estimated]]</f>
        <v>200</v>
      </c>
      <c r="K7" s="11">
        <f ca="1">tblCosts3[[#This Row],[Quantity]]*tblCosts3[[#This Row],[Actual]]</f>
        <v>217</v>
      </c>
      <c r="L7" s="12">
        <f ca="1">tblCosts3[[#This Row],[Estimated ]]-tblCosts3[[#This Row],[Actual ]]</f>
        <v>-17</v>
      </c>
    </row>
    <row r="8" spans="2:12" ht="14.25" customHeight="1" x14ac:dyDescent="0.25">
      <c r="C8" s="1" t="s">
        <v>54</v>
      </c>
      <c r="D8" s="1" t="s">
        <v>55</v>
      </c>
      <c r="E8" s="16"/>
      <c r="F8" s="16">
        <v>1</v>
      </c>
      <c r="G8" s="9">
        <v>50</v>
      </c>
      <c r="H8" s="11">
        <f t="shared" ca="1" si="0"/>
        <v>65</v>
      </c>
      <c r="I8" s="10">
        <f ca="1">tblCosts3[[#This Row],[Estimated]]-tblCosts3[[#This Row],[Actual]]</f>
        <v>-15</v>
      </c>
      <c r="J8" s="11">
        <f>tblCosts3[[#This Row],[Quantity]]*tblCosts3[[#This Row],[Estimated]]</f>
        <v>50</v>
      </c>
      <c r="K8" s="11">
        <f ca="1">tblCosts3[[#This Row],[Quantity]]*tblCosts3[[#This Row],[Actual]]</f>
        <v>65</v>
      </c>
      <c r="L8" s="12">
        <f ca="1">tblCosts3[[#This Row],[Estimated ]]-tblCosts3[[#This Row],[Actual ]]</f>
        <v>-15</v>
      </c>
    </row>
    <row r="9" spans="2:12" ht="14.25" customHeight="1" x14ac:dyDescent="0.25">
      <c r="C9" s="1" t="s">
        <v>56</v>
      </c>
      <c r="D9" s="1" t="s">
        <v>57</v>
      </c>
      <c r="E9" s="16"/>
      <c r="F9" s="16">
        <v>1</v>
      </c>
      <c r="G9" s="9">
        <v>200</v>
      </c>
      <c r="H9" s="11">
        <f t="shared" ca="1" si="0"/>
        <v>205</v>
      </c>
      <c r="I9" s="10">
        <f ca="1">tblCosts3[[#This Row],[Estimated]]-tblCosts3[[#This Row],[Actual]]</f>
        <v>-5</v>
      </c>
      <c r="J9" s="11">
        <f>tblCosts3[[#This Row],[Quantity]]*tblCosts3[[#This Row],[Estimated]]</f>
        <v>200</v>
      </c>
      <c r="K9" s="11">
        <f ca="1">tblCosts3[[#This Row],[Quantity]]*tblCosts3[[#This Row],[Actual]]</f>
        <v>205</v>
      </c>
      <c r="L9" s="12">
        <f ca="1">tblCosts3[[#This Row],[Estimated ]]-tblCosts3[[#This Row],[Actual ]]</f>
        <v>-5</v>
      </c>
    </row>
    <row r="10" spans="2:12" ht="14.25" customHeight="1" x14ac:dyDescent="0.25">
      <c r="C10" s="1" t="s">
        <v>58</v>
      </c>
      <c r="D10" s="1" t="s">
        <v>59</v>
      </c>
      <c r="E10" s="16"/>
      <c r="F10" s="16">
        <v>1</v>
      </c>
      <c r="G10" s="9">
        <v>200</v>
      </c>
      <c r="H10" s="11">
        <f t="shared" ca="1" si="0"/>
        <v>204</v>
      </c>
      <c r="I10" s="10">
        <f ca="1">tblCosts3[[#This Row],[Estimated]]-tblCosts3[[#This Row],[Actual]]</f>
        <v>-4</v>
      </c>
      <c r="J10" s="11">
        <f>tblCosts3[[#This Row],[Quantity]]*tblCosts3[[#This Row],[Estimated]]</f>
        <v>200</v>
      </c>
      <c r="K10" s="11">
        <f ca="1">tblCosts3[[#This Row],[Quantity]]*tblCosts3[[#This Row],[Actual]]</f>
        <v>204</v>
      </c>
      <c r="L10" s="12">
        <f ca="1">tblCosts3[[#This Row],[Estimated ]]-tblCosts3[[#This Row],[Actual ]]</f>
        <v>-4</v>
      </c>
    </row>
    <row r="11" spans="2:12" ht="14.25" customHeight="1" x14ac:dyDescent="0.25">
      <c r="B11" s="1" t="s">
        <v>60</v>
      </c>
      <c r="C11" s="1" t="s">
        <v>61</v>
      </c>
      <c r="D11" s="1" t="s">
        <v>62</v>
      </c>
      <c r="E11" s="16"/>
      <c r="F11" s="16">
        <v>1</v>
      </c>
      <c r="G11" s="9">
        <v>100</v>
      </c>
      <c r="H11" s="11">
        <f t="shared" ca="1" si="0"/>
        <v>108</v>
      </c>
      <c r="I11" s="10">
        <f ca="1">tblCosts3[[#This Row],[Estimated]]-tblCosts3[[#This Row],[Actual]]</f>
        <v>-8</v>
      </c>
      <c r="J11" s="11">
        <f>tblCosts3[[#This Row],[Quantity]]*tblCosts3[[#This Row],[Estimated]]</f>
        <v>100</v>
      </c>
      <c r="K11" s="11">
        <f ca="1">tblCosts3[[#This Row],[Quantity]]*tblCosts3[[#This Row],[Actual]]</f>
        <v>108</v>
      </c>
      <c r="L11" s="12">
        <f ca="1">tblCosts3[[#This Row],[Estimated ]]-tblCosts3[[#This Row],[Actual ]]</f>
        <v>-8</v>
      </c>
    </row>
    <row r="12" spans="2:12" ht="14.25" customHeight="1" x14ac:dyDescent="0.25">
      <c r="C12" s="1" t="s">
        <v>63</v>
      </c>
      <c r="D12" s="1" t="s">
        <v>64</v>
      </c>
      <c r="E12" s="16"/>
      <c r="F12" s="16">
        <v>1</v>
      </c>
      <c r="G12" s="9">
        <v>22.5</v>
      </c>
      <c r="H12" s="11">
        <f t="shared" ca="1" si="0"/>
        <v>31</v>
      </c>
      <c r="I12" s="10">
        <f ca="1">tblCosts3[[#This Row],[Estimated]]-tblCosts3[[#This Row],[Actual]]</f>
        <v>-8.5</v>
      </c>
      <c r="J12" s="11">
        <f>tblCosts3[[#This Row],[Quantity]]*tblCosts3[[#This Row],[Estimated]]</f>
        <v>22.5</v>
      </c>
      <c r="K12" s="11">
        <f ca="1">tblCosts3[[#This Row],[Quantity]]*tblCosts3[[#This Row],[Actual]]</f>
        <v>31</v>
      </c>
      <c r="L12" s="12">
        <f ca="1">tblCosts3[[#This Row],[Estimated ]]-tblCosts3[[#This Row],[Actual ]]</f>
        <v>-8.5</v>
      </c>
    </row>
    <row r="13" spans="2:12" ht="14.25" customHeight="1" x14ac:dyDescent="0.25">
      <c r="B13" s="1" t="s">
        <v>65</v>
      </c>
      <c r="C13" s="1" t="s">
        <v>66</v>
      </c>
      <c r="D13" s="1" t="s">
        <v>67</v>
      </c>
      <c r="E13" s="16"/>
      <c r="F13" s="16">
        <v>1</v>
      </c>
      <c r="G13" s="9">
        <v>90</v>
      </c>
      <c r="H13" s="11">
        <f t="shared" ca="1" si="0"/>
        <v>92</v>
      </c>
      <c r="I13" s="10">
        <f ca="1">tblCosts3[[#This Row],[Estimated]]-tblCosts3[[#This Row],[Actual]]</f>
        <v>-2</v>
      </c>
      <c r="J13" s="11">
        <f>tblCosts3[[#This Row],[Quantity]]*tblCosts3[[#This Row],[Estimated]]</f>
        <v>90</v>
      </c>
      <c r="K13" s="11">
        <f ca="1">tblCosts3[[#This Row],[Quantity]]*tblCosts3[[#This Row],[Actual]]</f>
        <v>92</v>
      </c>
      <c r="L13" s="12">
        <f ca="1">tblCosts3[[#This Row],[Estimated ]]-tblCosts3[[#This Row],[Actual ]]</f>
        <v>-2</v>
      </c>
    </row>
    <row r="14" spans="2:12" ht="14.25" customHeight="1" x14ac:dyDescent="0.25">
      <c r="C14" s="1" t="s">
        <v>68</v>
      </c>
      <c r="D14" s="1" t="s">
        <v>69</v>
      </c>
      <c r="E14" s="16"/>
      <c r="F14" s="16">
        <v>1</v>
      </c>
      <c r="G14" s="9">
        <v>115</v>
      </c>
      <c r="H14" s="11">
        <f t="shared" ca="1" si="0"/>
        <v>126</v>
      </c>
      <c r="I14" s="10">
        <f ca="1">tblCosts3[[#This Row],[Estimated]]-tblCosts3[[#This Row],[Actual]]</f>
        <v>-11</v>
      </c>
      <c r="J14" s="11">
        <f>tblCosts3[[#This Row],[Quantity]]*tblCosts3[[#This Row],[Estimated]]</f>
        <v>115</v>
      </c>
      <c r="K14" s="11">
        <f ca="1">tblCosts3[[#This Row],[Quantity]]*tblCosts3[[#This Row],[Actual]]</f>
        <v>126</v>
      </c>
      <c r="L14" s="12">
        <f ca="1">tblCosts3[[#This Row],[Estimated ]]-tblCosts3[[#This Row],[Actual ]]</f>
        <v>-11</v>
      </c>
    </row>
    <row r="15" spans="2:12" ht="14.25" customHeight="1" x14ac:dyDescent="0.25">
      <c r="C15" s="1" t="s">
        <v>70</v>
      </c>
      <c r="D15" s="1" t="s">
        <v>71</v>
      </c>
      <c r="E15" s="16"/>
      <c r="F15" s="16">
        <v>1</v>
      </c>
      <c r="G15" s="9">
        <v>95</v>
      </c>
      <c r="H15" s="11">
        <f t="shared" ca="1" si="0"/>
        <v>109</v>
      </c>
      <c r="I15" s="10">
        <f ca="1">tblCosts3[[#This Row],[Estimated]]-tblCosts3[[#This Row],[Actual]]</f>
        <v>-14</v>
      </c>
      <c r="J15" s="11">
        <f>tblCosts3[[#This Row],[Quantity]]*tblCosts3[[#This Row],[Estimated]]</f>
        <v>95</v>
      </c>
      <c r="K15" s="11">
        <f ca="1">tblCosts3[[#This Row],[Quantity]]*tblCosts3[[#This Row],[Actual]]</f>
        <v>109</v>
      </c>
      <c r="L15" s="12">
        <f ca="1">tblCosts3[[#This Row],[Estimated ]]-tblCosts3[[#This Row],[Actual ]]</f>
        <v>-14</v>
      </c>
    </row>
    <row r="16" spans="2:12" ht="14.25" customHeight="1" x14ac:dyDescent="0.25">
      <c r="C16" s="1" t="s">
        <v>72</v>
      </c>
      <c r="D16" s="1" t="s">
        <v>73</v>
      </c>
      <c r="E16" s="16"/>
      <c r="F16" s="16">
        <v>1</v>
      </c>
      <c r="G16" s="9">
        <v>12</v>
      </c>
      <c r="H16" s="11">
        <f t="shared" ca="1" si="0"/>
        <v>24</v>
      </c>
      <c r="I16" s="10">
        <f ca="1">tblCosts3[[#This Row],[Estimated]]-tblCosts3[[#This Row],[Actual]]</f>
        <v>-12</v>
      </c>
      <c r="J16" s="11">
        <f>tblCosts3[[#This Row],[Quantity]]*tblCosts3[[#This Row],[Estimated]]</f>
        <v>12</v>
      </c>
      <c r="K16" s="11">
        <f ca="1">tblCosts3[[#This Row],[Quantity]]*tblCosts3[[#This Row],[Actual]]</f>
        <v>24</v>
      </c>
      <c r="L16" s="12">
        <f ca="1">tblCosts3[[#This Row],[Estimated ]]-tblCosts3[[#This Row],[Actual ]]</f>
        <v>-12</v>
      </c>
    </row>
    <row r="17" spans="2:12" ht="14.25" customHeight="1" x14ac:dyDescent="0.25">
      <c r="B17" s="1" t="s">
        <v>74</v>
      </c>
      <c r="C17" s="1" t="s">
        <v>75</v>
      </c>
      <c r="D17" s="1" t="s">
        <v>76</v>
      </c>
      <c r="E17" s="16"/>
      <c r="F17" s="16">
        <v>1</v>
      </c>
      <c r="G17" s="9">
        <v>15</v>
      </c>
      <c r="H17" s="11">
        <f t="shared" ca="1" si="0"/>
        <v>29</v>
      </c>
      <c r="I17" s="10">
        <f ca="1">tblCosts3[[#This Row],[Estimated]]-tblCosts3[[#This Row],[Actual]]</f>
        <v>-14</v>
      </c>
      <c r="J17" s="11">
        <f>tblCosts3[[#This Row],[Quantity]]*tblCosts3[[#This Row],[Estimated]]</f>
        <v>15</v>
      </c>
      <c r="K17" s="11">
        <f ca="1">tblCosts3[[#This Row],[Quantity]]*tblCosts3[[#This Row],[Actual]]</f>
        <v>29</v>
      </c>
      <c r="L17" s="12">
        <f ca="1">tblCosts3[[#This Row],[Estimated ]]-tblCosts3[[#This Row],[Actual ]]</f>
        <v>-14</v>
      </c>
    </row>
    <row r="18" spans="2:12" ht="14.25" customHeight="1" x14ac:dyDescent="0.25">
      <c r="C18" s="1" t="s">
        <v>77</v>
      </c>
      <c r="D18" s="1" t="s">
        <v>78</v>
      </c>
      <c r="E18" s="16"/>
      <c r="F18" s="16">
        <v>1</v>
      </c>
      <c r="G18" s="9">
        <v>10</v>
      </c>
      <c r="H18" s="11">
        <f t="shared" ca="1" si="0"/>
        <v>19</v>
      </c>
      <c r="I18" s="10">
        <f ca="1">tblCosts3[[#This Row],[Estimated]]-tblCosts3[[#This Row],[Actual]]</f>
        <v>-9</v>
      </c>
      <c r="J18" s="11">
        <f>tblCosts3[[#This Row],[Quantity]]*tblCosts3[[#This Row],[Estimated]]</f>
        <v>10</v>
      </c>
      <c r="K18" s="11">
        <f ca="1">tblCosts3[[#This Row],[Quantity]]*tblCosts3[[#This Row],[Actual]]</f>
        <v>19</v>
      </c>
      <c r="L18" s="12">
        <f ca="1">tblCosts3[[#This Row],[Estimated ]]-tblCosts3[[#This Row],[Actual ]]</f>
        <v>-9</v>
      </c>
    </row>
    <row r="19" spans="2:12" ht="14.25" customHeight="1" x14ac:dyDescent="0.25">
      <c r="C19" s="1" t="s">
        <v>79</v>
      </c>
      <c r="D19" s="1" t="s">
        <v>80</v>
      </c>
      <c r="E19" s="16"/>
      <c r="F19" s="16">
        <v>1</v>
      </c>
      <c r="G19" s="9">
        <v>25</v>
      </c>
      <c r="H19" s="11">
        <f t="shared" ca="1" si="0"/>
        <v>41</v>
      </c>
      <c r="I19" s="10">
        <f ca="1">tblCosts3[[#This Row],[Estimated]]-tblCosts3[[#This Row],[Actual]]</f>
        <v>-16</v>
      </c>
      <c r="J19" s="11">
        <f>tblCosts3[[#This Row],[Quantity]]*tblCosts3[[#This Row],[Estimated]]</f>
        <v>25</v>
      </c>
      <c r="K19" s="11">
        <f ca="1">tblCosts3[[#This Row],[Quantity]]*tblCosts3[[#This Row],[Actual]]</f>
        <v>41</v>
      </c>
      <c r="L19" s="12">
        <f ca="1">tblCosts3[[#This Row],[Estimated ]]-tblCosts3[[#This Row],[Actual ]]</f>
        <v>-16</v>
      </c>
    </row>
    <row r="20" spans="2:12" ht="14.25" customHeight="1" x14ac:dyDescent="0.25">
      <c r="C20" s="1" t="s">
        <v>81</v>
      </c>
      <c r="D20" s="1" t="s">
        <v>82</v>
      </c>
      <c r="E20" s="16"/>
      <c r="F20" s="16">
        <v>1</v>
      </c>
      <c r="G20" s="9">
        <v>60</v>
      </c>
      <c r="H20" s="11">
        <f t="shared" ca="1" si="0"/>
        <v>70</v>
      </c>
      <c r="I20" s="10">
        <f ca="1">tblCosts3[[#This Row],[Estimated]]-tblCosts3[[#This Row],[Actual]]</f>
        <v>-10</v>
      </c>
      <c r="J20" s="11">
        <f>tblCosts3[[#This Row],[Quantity]]*tblCosts3[[#This Row],[Estimated]]</f>
        <v>60</v>
      </c>
      <c r="K20" s="11">
        <f ca="1">tblCosts3[[#This Row],[Quantity]]*tblCosts3[[#This Row],[Actual]]</f>
        <v>70</v>
      </c>
      <c r="L20" s="12">
        <f ca="1">tblCosts3[[#This Row],[Estimated ]]-tblCosts3[[#This Row],[Actual ]]</f>
        <v>-10</v>
      </c>
    </row>
    <row r="21" spans="2:12" ht="14.25" customHeight="1" x14ac:dyDescent="0.25">
      <c r="C21" s="1" t="s">
        <v>83</v>
      </c>
      <c r="D21" s="1" t="s">
        <v>84</v>
      </c>
      <c r="E21" s="16"/>
      <c r="F21" s="16">
        <v>1</v>
      </c>
      <c r="G21" s="9">
        <v>120</v>
      </c>
      <c r="H21" s="11">
        <f t="shared" ca="1" si="0"/>
        <v>123</v>
      </c>
      <c r="I21" s="10">
        <f ca="1">tblCosts3[[#This Row],[Estimated]]-tblCosts3[[#This Row],[Actual]]</f>
        <v>-3</v>
      </c>
      <c r="J21" s="11">
        <f>tblCosts3[[#This Row],[Quantity]]*tblCosts3[[#This Row],[Estimated]]</f>
        <v>120</v>
      </c>
      <c r="K21" s="11">
        <f ca="1">tblCosts3[[#This Row],[Quantity]]*tblCosts3[[#This Row],[Actual]]</f>
        <v>123</v>
      </c>
      <c r="L21" s="12">
        <f ca="1">tblCosts3[[#This Row],[Estimated ]]-tblCosts3[[#This Row],[Actual ]]</f>
        <v>-3</v>
      </c>
    </row>
    <row r="22" spans="2:12" ht="14.25" customHeight="1" x14ac:dyDescent="0.25">
      <c r="B22" s="1" t="s">
        <v>85</v>
      </c>
      <c r="C22" s="1" t="s">
        <v>86</v>
      </c>
      <c r="D22" s="1" t="s">
        <v>87</v>
      </c>
      <c r="E22" s="16"/>
      <c r="F22" s="16">
        <v>1</v>
      </c>
      <c r="G22" s="9">
        <v>60</v>
      </c>
      <c r="H22" s="11">
        <f t="shared" ca="1" si="0"/>
        <v>78</v>
      </c>
      <c r="I22" s="10">
        <f ca="1">tblCosts3[[#This Row],[Estimated]]-tblCosts3[[#This Row],[Actual]]</f>
        <v>-18</v>
      </c>
      <c r="J22" s="11">
        <f>tblCosts3[[#This Row],[Quantity]]*tblCosts3[[#This Row],[Estimated]]</f>
        <v>60</v>
      </c>
      <c r="K22" s="11">
        <f ca="1">tblCosts3[[#This Row],[Quantity]]*tblCosts3[[#This Row],[Actual]]</f>
        <v>78</v>
      </c>
      <c r="L22" s="12">
        <f ca="1">tblCosts3[[#This Row],[Estimated ]]-tblCosts3[[#This Row],[Actual ]]</f>
        <v>-18</v>
      </c>
    </row>
    <row r="23" spans="2:12" ht="14.25" customHeight="1" x14ac:dyDescent="0.25">
      <c r="C23" s="1" t="s">
        <v>88</v>
      </c>
      <c r="D23" s="1" t="s">
        <v>89</v>
      </c>
      <c r="E23" s="16"/>
      <c r="F23" s="16">
        <v>1</v>
      </c>
      <c r="G23" s="9">
        <v>0.95</v>
      </c>
      <c r="H23" s="11">
        <f t="shared" ca="1" si="0"/>
        <v>3</v>
      </c>
      <c r="I23" s="10">
        <f ca="1">tblCosts3[[#This Row],[Estimated]]-tblCosts3[[#This Row],[Actual]]</f>
        <v>-2.0499999999999998</v>
      </c>
      <c r="J23" s="11">
        <f>tblCosts3[[#This Row],[Quantity]]*tblCosts3[[#This Row],[Estimated]]</f>
        <v>0.95</v>
      </c>
      <c r="K23" s="11">
        <f ca="1">tblCosts3[[#This Row],[Quantity]]*tblCosts3[[#This Row],[Actual]]</f>
        <v>3</v>
      </c>
      <c r="L23" s="12">
        <f ca="1">tblCosts3[[#This Row],[Estimated ]]-tblCosts3[[#This Row],[Actual ]]</f>
        <v>-2.0499999999999998</v>
      </c>
    </row>
    <row r="24" spans="2:12" ht="14.25" customHeight="1" x14ac:dyDescent="0.25">
      <c r="C24" s="1" t="s">
        <v>90</v>
      </c>
      <c r="D24" s="1" t="s">
        <v>91</v>
      </c>
      <c r="E24" s="16"/>
      <c r="F24" s="16">
        <v>1</v>
      </c>
      <c r="G24" s="9">
        <v>120</v>
      </c>
      <c r="H24" s="11">
        <f t="shared" ca="1" si="0"/>
        <v>126</v>
      </c>
      <c r="I24" s="10">
        <f ca="1">tblCosts3[[#This Row],[Estimated]]-tblCosts3[[#This Row],[Actual]]</f>
        <v>-6</v>
      </c>
      <c r="J24" s="11">
        <f>tblCosts3[[#This Row],[Quantity]]*tblCosts3[[#This Row],[Estimated]]</f>
        <v>120</v>
      </c>
      <c r="K24" s="11">
        <f ca="1">tblCosts3[[#This Row],[Quantity]]*tblCosts3[[#This Row],[Actual]]</f>
        <v>126</v>
      </c>
      <c r="L24" s="12">
        <f ca="1">tblCosts3[[#This Row],[Estimated ]]-tblCosts3[[#This Row],[Actual ]]</f>
        <v>-6</v>
      </c>
    </row>
    <row r="25" spans="2:12" ht="14.25" customHeight="1" x14ac:dyDescent="0.25">
      <c r="C25" s="1" t="s">
        <v>92</v>
      </c>
      <c r="D25" s="1" t="s">
        <v>93</v>
      </c>
      <c r="E25" s="16"/>
      <c r="F25" s="16">
        <v>1</v>
      </c>
      <c r="G25" s="9">
        <v>20</v>
      </c>
      <c r="H25" s="11">
        <f t="shared" ca="1" si="0"/>
        <v>25</v>
      </c>
      <c r="I25" s="10">
        <f ca="1">tblCosts3[[#This Row],[Estimated]]-tblCosts3[[#This Row],[Actual]]</f>
        <v>-5</v>
      </c>
      <c r="J25" s="11">
        <f>tblCosts3[[#This Row],[Quantity]]*tblCosts3[[#This Row],[Estimated]]</f>
        <v>20</v>
      </c>
      <c r="K25" s="11">
        <f ca="1">tblCosts3[[#This Row],[Quantity]]*tblCosts3[[#This Row],[Actual]]</f>
        <v>25</v>
      </c>
      <c r="L25" s="12">
        <f ca="1">tblCosts3[[#This Row],[Estimated ]]-tblCosts3[[#This Row],[Actual ]]</f>
        <v>-5</v>
      </c>
    </row>
    <row r="26" spans="2:12" ht="15.75" customHeight="1" x14ac:dyDescent="0.25">
      <c r="B26" s="25" t="s">
        <v>94</v>
      </c>
      <c r="C26" s="25" t="s">
        <v>95</v>
      </c>
      <c r="D26" s="25" t="s">
        <v>96</v>
      </c>
      <c r="E26" s="27"/>
      <c r="F26" s="27">
        <v>1</v>
      </c>
      <c r="G26" s="28">
        <v>6</v>
      </c>
      <c r="H26" s="29">
        <f t="shared" ref="H26:H30" ca="1" si="1">RANDBETWEEN(G26+2,G26+20)</f>
        <v>23</v>
      </c>
      <c r="I26" s="31">
        <f ca="1">tblCosts3[[#This Row],[Estimated]]-tblCosts3[[#This Row],[Actual]]</f>
        <v>-17</v>
      </c>
      <c r="J26" s="29">
        <f>tblCosts3[[#This Row],[Quantity]]*tblCosts3[[#This Row],[Estimated]]</f>
        <v>6</v>
      </c>
      <c r="K26" s="32">
        <f ca="1">tblCosts3[[#This Row],[Quantity]]*tblCosts3[[#This Row],[Actual]]</f>
        <v>23</v>
      </c>
      <c r="L26" s="29">
        <f ca="1">tblCosts3[[#This Row],[Estimated ]]-tblCosts3[[#This Row],[Actual ]]</f>
        <v>-17</v>
      </c>
    </row>
    <row r="27" spans="2:12" ht="15.75" customHeight="1" x14ac:dyDescent="0.25">
      <c r="B27" s="25"/>
      <c r="C27" s="25" t="s">
        <v>97</v>
      </c>
      <c r="D27" s="25" t="s">
        <v>98</v>
      </c>
      <c r="E27" s="27"/>
      <c r="F27" s="27">
        <v>1</v>
      </c>
      <c r="G27" s="28">
        <v>6</v>
      </c>
      <c r="H27" s="30">
        <f t="shared" ca="1" si="1"/>
        <v>9</v>
      </c>
      <c r="I27" s="31">
        <f ca="1">tblCosts3[[#This Row],[Estimated]]-tblCosts3[[#This Row],[Actual]]</f>
        <v>-3</v>
      </c>
      <c r="J27" s="29">
        <f>tblCosts3[[#This Row],[Quantity]]*tblCosts3[[#This Row],[Estimated]]</f>
        <v>6</v>
      </c>
      <c r="K27" s="32">
        <f ca="1">tblCosts3[[#This Row],[Quantity]]*tblCosts3[[#This Row],[Actual]]</f>
        <v>9</v>
      </c>
      <c r="L27" s="29">
        <f ca="1">tblCosts3[[#This Row],[Estimated ]]-tblCosts3[[#This Row],[Actual ]]</f>
        <v>-3</v>
      </c>
    </row>
    <row r="28" spans="2:12" ht="13.5" customHeight="1" x14ac:dyDescent="0.25">
      <c r="B28" s="25"/>
      <c r="C28" s="25" t="s">
        <v>99</v>
      </c>
      <c r="D28" s="25" t="s">
        <v>100</v>
      </c>
      <c r="E28" s="27"/>
      <c r="F28" s="27">
        <v>1</v>
      </c>
      <c r="G28" s="28">
        <v>7</v>
      </c>
      <c r="H28" s="30">
        <f t="shared" ca="1" si="1"/>
        <v>20</v>
      </c>
      <c r="I28" s="31">
        <f ca="1">tblCosts3[[#This Row],[Estimated]]-tblCosts3[[#This Row],[Actual]]</f>
        <v>-13</v>
      </c>
      <c r="J28" s="29">
        <f>tblCosts3[[#This Row],[Quantity]]*tblCosts3[[#This Row],[Estimated]]</f>
        <v>7</v>
      </c>
      <c r="K28" s="32">
        <f ca="1">tblCosts3[[#This Row],[Quantity]]*tblCosts3[[#This Row],[Actual]]</f>
        <v>20</v>
      </c>
      <c r="L28" s="29">
        <f ca="1">tblCosts3[[#This Row],[Estimated ]]-tblCosts3[[#This Row],[Actual ]]</f>
        <v>-13</v>
      </c>
    </row>
    <row r="29" spans="2:12" ht="13.5" customHeight="1" x14ac:dyDescent="0.25">
      <c r="B29" s="25"/>
      <c r="C29" s="25" t="s">
        <v>101</v>
      </c>
      <c r="D29" s="25" t="s">
        <v>102</v>
      </c>
      <c r="E29" s="27"/>
      <c r="F29" s="27">
        <v>1</v>
      </c>
      <c r="G29" s="28">
        <v>8</v>
      </c>
      <c r="H29" s="30">
        <f t="shared" ca="1" si="1"/>
        <v>10</v>
      </c>
      <c r="I29" s="31">
        <f ca="1">tblCosts3[[#This Row],[Estimated]]-tblCosts3[[#This Row],[Actual]]</f>
        <v>-2</v>
      </c>
      <c r="J29" s="29">
        <f>tblCosts3[[#This Row],[Quantity]]*tblCosts3[[#This Row],[Estimated]]</f>
        <v>8</v>
      </c>
      <c r="K29" s="32">
        <f ca="1">tblCosts3[[#This Row],[Quantity]]*tblCosts3[[#This Row],[Actual]]</f>
        <v>10</v>
      </c>
      <c r="L29" s="29">
        <f ca="1">tblCosts3[[#This Row],[Estimated ]]-tblCosts3[[#This Row],[Actual ]]</f>
        <v>-2</v>
      </c>
    </row>
    <row r="30" spans="2:12" x14ac:dyDescent="0.25">
      <c r="B30" s="25" t="s">
        <v>103</v>
      </c>
      <c r="C30" s="25" t="s">
        <v>104</v>
      </c>
      <c r="D30" s="25" t="s">
        <v>105</v>
      </c>
      <c r="E30" s="27"/>
      <c r="F30" s="27">
        <v>1</v>
      </c>
      <c r="G30" s="28">
        <v>9</v>
      </c>
      <c r="H30" s="30">
        <f t="shared" ca="1" si="1"/>
        <v>12</v>
      </c>
      <c r="I30" s="31">
        <f ca="1">tblCosts3[[#This Row],[Estimated]]-tblCosts3[[#This Row],[Actual]]</f>
        <v>-3</v>
      </c>
      <c r="J30" s="29">
        <f>tblCosts3[[#This Row],[Quantity]]*tblCosts3[[#This Row],[Estimated]]</f>
        <v>9</v>
      </c>
      <c r="K30" s="32">
        <f ca="1">tblCosts3[[#This Row],[Quantity]]*tblCosts3[[#This Row],[Actual]]</f>
        <v>12</v>
      </c>
      <c r="L30" s="29">
        <f ca="1">tblCosts3[[#This Row],[Estimated ]]-tblCosts3[[#This Row],[Actual ]]</f>
        <v>-3</v>
      </c>
    </row>
    <row r="31" spans="2:12" x14ac:dyDescent="0.25">
      <c r="B31" s="25"/>
      <c r="C31" s="25" t="s">
        <v>106</v>
      </c>
      <c r="D31" s="25" t="s">
        <v>107</v>
      </c>
      <c r="E31" s="27"/>
      <c r="F31" s="27">
        <v>1</v>
      </c>
      <c r="G31" s="28">
        <v>12</v>
      </c>
      <c r="H31" s="29">
        <f ca="1">RANDBETWEEN(G31+2,G31+20)</f>
        <v>28</v>
      </c>
      <c r="I31" s="31">
        <f ca="1">tblCosts3[[#This Row],[Estimated]]-tblCosts3[[#This Row],[Actual]]</f>
        <v>-16</v>
      </c>
      <c r="J31" s="29">
        <f>tblCosts3[[#This Row],[Quantity]]*tblCosts3[[#This Row],[Estimated]]</f>
        <v>12</v>
      </c>
      <c r="K31" s="32">
        <f ca="1">tblCosts3[[#This Row],[Quantity]]*tblCosts3[[#This Row],[Actual]]</f>
        <v>28</v>
      </c>
      <c r="L31" s="29">
        <f ca="1">tblCosts3[[#This Row],[Estimated ]]-tblCosts3[[#This Row],[Actual ]]</f>
        <v>-16</v>
      </c>
    </row>
    <row r="32" spans="2:12" x14ac:dyDescent="0.25">
      <c r="B32" s="25"/>
      <c r="C32" s="25"/>
      <c r="D32" s="25" t="s">
        <v>37</v>
      </c>
      <c r="E32" s="33"/>
      <c r="F32" s="33"/>
      <c r="G32" s="34">
        <f>SUBTOTAL(109,tblCosts3[Estimated])</f>
        <v>1813.45</v>
      </c>
      <c r="H32" s="30">
        <f ca="1">SUBTOTAL(109,tblCosts3[Actual])</f>
        <v>2050</v>
      </c>
      <c r="I32" s="35">
        <f ca="1">SUBTOTAL(109,tblCosts3[Difference])</f>
        <v>-236.55</v>
      </c>
      <c r="J32" s="29">
        <f>SUBTOTAL(109,tblCosts3[[Estimated ]])</f>
        <v>1813.45</v>
      </c>
      <c r="K32" s="29">
        <f ca="1">SUBTOTAL(109,tblCosts3[[Actual ]])</f>
        <v>2050</v>
      </c>
      <c r="L32" s="29">
        <f ca="1">SUBTOTAL(109,tblCosts3[[Difference ]])</f>
        <v>-236.55</v>
      </c>
    </row>
    <row r="33" spans="2:12" x14ac:dyDescent="0.25">
      <c r="B33" s="5"/>
      <c r="C33" s="36"/>
      <c r="D33" s="4" t="s">
        <v>42</v>
      </c>
      <c r="E33" s="4"/>
      <c r="F33" s="4"/>
      <c r="G33" s="24">
        <f>tblCosts3[[#Totals],[Estimated]]*0.3</f>
        <v>544.03499999999997</v>
      </c>
      <c r="H33" s="24">
        <f ca="1">tblCosts3[[#Totals],[Actual]]*0.3</f>
        <v>615</v>
      </c>
      <c r="I33" s="24">
        <f ca="1">tblCosts3[[#Totals],[Difference]]*0.3</f>
        <v>-70.965000000000003</v>
      </c>
      <c r="J33" s="24">
        <f>tblCosts3[[#Totals],[Estimated ]]*0.3</f>
        <v>544.03499999999997</v>
      </c>
      <c r="K33" s="24">
        <f ca="1">tblCosts3[[#Totals],[Actual ]]*0.3</f>
        <v>615</v>
      </c>
      <c r="L33" s="24">
        <f ca="1">tblCosts3[[#Totals],[Difference ]]*0.3</f>
        <v>-70.965000000000003</v>
      </c>
    </row>
    <row r="34" spans="2:12" x14ac:dyDescent="0.25">
      <c r="B34" s="5"/>
      <c r="C34" s="36"/>
      <c r="D34" s="4" t="s">
        <v>38</v>
      </c>
      <c r="E34" s="4"/>
      <c r="F34" s="4"/>
      <c r="G34" s="24">
        <f>SUM(G32:G33)</f>
        <v>2357.4850000000001</v>
      </c>
      <c r="H34" s="24">
        <f ca="1">SUM(H32:H33)</f>
        <v>2665</v>
      </c>
      <c r="I34" s="24">
        <f ca="1">SUM(I32:I33)</f>
        <v>-307.51499999999999</v>
      </c>
      <c r="J34" s="20">
        <f>SUM(tblCosts3[[#Totals],[Estimated ]],Overage)</f>
        <v>2357.4850000000001</v>
      </c>
      <c r="K34" s="20">
        <f ca="1">SUM(tblCosts3[[#Totals],[Actual ]],Overage)</f>
        <v>2594.0349999999999</v>
      </c>
      <c r="L34" s="20">
        <f ca="1">SUM(tblCosts3[[#Totals],[Difference ]],Overage)</f>
        <v>307.48499999999996</v>
      </c>
    </row>
  </sheetData>
  <mergeCells count="2">
    <mergeCell ref="G4:I4"/>
    <mergeCell ref="J4:L4"/>
  </mergeCells>
  <conditionalFormatting sqref="J6:K31">
    <cfRule type="expression" dxfId="1" priority="2">
      <formula>MOD(ROW(),2)=0</formula>
    </cfRule>
  </conditionalFormatting>
  <conditionalFormatting sqref="L6:L31">
    <cfRule type="expression" dxfId="0" priority="1">
      <formula>MOD(ROW(),2)=0</formula>
    </cfRule>
  </conditionalFormatting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AF456-6EFA-4593-ABCA-444B9A3EB841}">
  <dimension ref="D3:F29"/>
  <sheetViews>
    <sheetView workbookViewId="0">
      <selection activeCell="I34" sqref="I34"/>
    </sheetView>
  </sheetViews>
  <sheetFormatPr defaultRowHeight="12.75" x14ac:dyDescent="0.2"/>
  <cols>
    <col min="4" max="4" width="22.5703125" bestFit="1" customWidth="1"/>
    <col min="5" max="5" width="19.28515625" bestFit="1" customWidth="1"/>
    <col min="6" max="6" width="48.5703125" bestFit="1" customWidth="1"/>
  </cols>
  <sheetData>
    <row r="3" spans="4:6" ht="15.75" x14ac:dyDescent="0.25">
      <c r="D3" s="26" t="s">
        <v>46</v>
      </c>
      <c r="E3" s="26" t="s">
        <v>47</v>
      </c>
      <c r="F3" s="26" t="s">
        <v>48</v>
      </c>
    </row>
    <row r="4" spans="4:6" x14ac:dyDescent="0.2">
      <c r="D4" t="s">
        <v>49</v>
      </c>
      <c r="E4" t="s">
        <v>50</v>
      </c>
      <c r="F4" t="s">
        <v>51</v>
      </c>
    </row>
    <row r="5" spans="4:6" x14ac:dyDescent="0.2">
      <c r="E5" t="s">
        <v>52</v>
      </c>
      <c r="F5" t="s">
        <v>53</v>
      </c>
    </row>
    <row r="6" spans="4:6" x14ac:dyDescent="0.2">
      <c r="E6" t="s">
        <v>54</v>
      </c>
      <c r="F6" t="s">
        <v>55</v>
      </c>
    </row>
    <row r="7" spans="4:6" x14ac:dyDescent="0.2">
      <c r="E7" t="s">
        <v>56</v>
      </c>
      <c r="F7" t="s">
        <v>57</v>
      </c>
    </row>
    <row r="8" spans="4:6" x14ac:dyDescent="0.2">
      <c r="E8" t="s">
        <v>58</v>
      </c>
      <c r="F8" t="s">
        <v>59</v>
      </c>
    </row>
    <row r="9" spans="4:6" x14ac:dyDescent="0.2">
      <c r="D9" t="s">
        <v>60</v>
      </c>
      <c r="E9" t="s">
        <v>61</v>
      </c>
      <c r="F9" t="s">
        <v>62</v>
      </c>
    </row>
    <row r="10" spans="4:6" x14ac:dyDescent="0.2">
      <c r="E10" t="s">
        <v>63</v>
      </c>
      <c r="F10" t="s">
        <v>64</v>
      </c>
    </row>
    <row r="11" spans="4:6" x14ac:dyDescent="0.2">
      <c r="D11" t="s">
        <v>65</v>
      </c>
      <c r="E11" t="s">
        <v>66</v>
      </c>
      <c r="F11" t="s">
        <v>67</v>
      </c>
    </row>
    <row r="12" spans="4:6" x14ac:dyDescent="0.2">
      <c r="E12" t="s">
        <v>68</v>
      </c>
      <c r="F12" t="s">
        <v>69</v>
      </c>
    </row>
    <row r="13" spans="4:6" x14ac:dyDescent="0.2">
      <c r="E13" t="s">
        <v>70</v>
      </c>
      <c r="F13" t="s">
        <v>71</v>
      </c>
    </row>
    <row r="14" spans="4:6" ht="16.5" customHeight="1" x14ac:dyDescent="0.2">
      <c r="E14" t="s">
        <v>72</v>
      </c>
      <c r="F14" t="s">
        <v>73</v>
      </c>
    </row>
    <row r="15" spans="4:6" x14ac:dyDescent="0.2">
      <c r="D15" t="s">
        <v>74</v>
      </c>
      <c r="E15" t="s">
        <v>75</v>
      </c>
      <c r="F15" t="s">
        <v>76</v>
      </c>
    </row>
    <row r="16" spans="4:6" x14ac:dyDescent="0.2">
      <c r="E16" t="s">
        <v>77</v>
      </c>
      <c r="F16" t="s">
        <v>78</v>
      </c>
    </row>
    <row r="17" spans="4:6" x14ac:dyDescent="0.2">
      <c r="E17" t="s">
        <v>79</v>
      </c>
      <c r="F17" t="s">
        <v>80</v>
      </c>
    </row>
    <row r="18" spans="4:6" x14ac:dyDescent="0.2">
      <c r="E18" t="s">
        <v>81</v>
      </c>
      <c r="F18" t="s">
        <v>82</v>
      </c>
    </row>
    <row r="19" spans="4:6" x14ac:dyDescent="0.2">
      <c r="E19" t="s">
        <v>83</v>
      </c>
      <c r="F19" t="s">
        <v>84</v>
      </c>
    </row>
    <row r="20" spans="4:6" x14ac:dyDescent="0.2">
      <c r="D20" t="s">
        <v>85</v>
      </c>
      <c r="E20" t="s">
        <v>86</v>
      </c>
      <c r="F20" t="s">
        <v>87</v>
      </c>
    </row>
    <row r="21" spans="4:6" x14ac:dyDescent="0.2">
      <c r="E21" t="s">
        <v>88</v>
      </c>
      <c r="F21" t="s">
        <v>89</v>
      </c>
    </row>
    <row r="22" spans="4:6" x14ac:dyDescent="0.2">
      <c r="E22" t="s">
        <v>90</v>
      </c>
      <c r="F22" t="s">
        <v>91</v>
      </c>
    </row>
    <row r="23" spans="4:6" x14ac:dyDescent="0.2">
      <c r="E23" t="s">
        <v>92</v>
      </c>
      <c r="F23" t="s">
        <v>93</v>
      </c>
    </row>
    <row r="24" spans="4:6" x14ac:dyDescent="0.2">
      <c r="D24" t="s">
        <v>94</v>
      </c>
      <c r="E24" t="s">
        <v>95</v>
      </c>
      <c r="F24" t="s">
        <v>96</v>
      </c>
    </row>
    <row r="25" spans="4:6" x14ac:dyDescent="0.2">
      <c r="E25" t="s">
        <v>97</v>
      </c>
      <c r="F25" t="s">
        <v>98</v>
      </c>
    </row>
    <row r="26" spans="4:6" x14ac:dyDescent="0.2">
      <c r="E26" t="s">
        <v>99</v>
      </c>
      <c r="F26" t="s">
        <v>100</v>
      </c>
    </row>
    <row r="27" spans="4:6" x14ac:dyDescent="0.2">
      <c r="E27" t="s">
        <v>101</v>
      </c>
      <c r="F27" t="s">
        <v>102</v>
      </c>
    </row>
    <row r="28" spans="4:6" x14ac:dyDescent="0.2">
      <c r="D28" t="s">
        <v>103</v>
      </c>
      <c r="E28" t="s">
        <v>104</v>
      </c>
      <c r="F28" t="s">
        <v>105</v>
      </c>
    </row>
    <row r="29" spans="4:6" x14ac:dyDescent="0.2">
      <c r="E29" t="s">
        <v>106</v>
      </c>
      <c r="F29" t="s">
        <v>107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C27A9AA-6D15-4D68-8EA5-1B4E878F7E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Remodel Fixtures V2</vt:lpstr>
      <vt:lpstr>Remodel Fixtures V1</vt:lpstr>
      <vt:lpstr>Bath Remodel - DIY Tools</vt:lpstr>
      <vt:lpstr>Bath Remodel - Const Cost</vt:lpstr>
      <vt:lpstr>Project Planning </vt:lpstr>
      <vt:lpstr>'Bath Remodel - Const Cost'!Overage</vt:lpstr>
      <vt:lpstr>'Bath Remodel - DIY Tools'!Overage</vt:lpstr>
      <vt:lpstr>'Remodel Fixtures V1'!Overage</vt:lpstr>
      <vt:lpstr>'Remodel Fixtures V2'!Overage</vt:lpstr>
      <vt:lpstr>'Bath Remodel - Const Cost'!Print_Titles</vt:lpstr>
      <vt:lpstr>'Bath Remodel - DIY Tools'!Print_Titles</vt:lpstr>
      <vt:lpstr>'Remodel Fixtures V1'!Print_Titles</vt:lpstr>
      <vt:lpstr>'Remodel Fixtures V2'!Print_Titles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2024-02-16T04:09:27Z</dcterms:created>
  <dcterms:modified xsi:type="dcterms:W3CDTF">2024-03-17T04:48:11Z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TC039868809991</vt:lpwstr>
  </property>
</Properties>
</file>